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BlendPaidProd" vbProcedure="false">Alloc!$C$106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CapPaidProd" vbProcedure="false">Alloc!$C$105:$F$105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Alloc!$C$63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Alloc!$C$64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odRatioPaid" vbProcedure="false">Alloc!$C$107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Alloc!$W$72:$W$86</definedName>
    <definedName function="false" hidden="false" name="AL_SensCost" vbProcedure="false">Alloc!$U$72:$U$86</definedName>
    <definedName function="false" hidden="false" name="AL_SensDaily" vbProcedure="false">Alloc!$V$72:$V$86</definedName>
    <definedName function="false" hidden="false" name="AL_SensQ1" vbProcedure="false">Alloc!$S$72:$S$86</definedName>
    <definedName function="false" hidden="false" name="AL_SensQ2" vbProcedure="false">Alloc!$T$72:$T$86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Lo" vbProcedure="false">L1!$E$89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<sst xmlns="http://schemas.openxmlformats.org/spreadsheetml/2006/main" count="36035" uniqueCount="10350">
  <si>
    <r>
      <rPr>
        <b val="true"/>
        <sz val="13"/>
        <rFont val="Arial"/>
        <family val="0"/>
        <charset val="1"/>
      </rPr>
      <t xml:space="preserve">Tokenomics v6.0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</si>
  <si>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</si>
  <si>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</si>
  <si>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</si>
  <si>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</si>
  <si>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20261015_Tokenomics_v6.0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</si>
  <si>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</si>
  <si>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</si>
  <si>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</si>
  <si>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</si>
  <si>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</si>
  <si>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</si>
  <si>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</si>
  <si>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</si>
  <si>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</si>
  <si>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</si>
  <si>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</si>
  <si>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</si>
  <si>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</si>
  <si>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</si>
  <si>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</si>
  <si>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</si>
  <si>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</si>
  <si>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</si>
  <si>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</si>
  <si>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</si>
  <si>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</si>
  <si>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</si>
  <si>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</si>
  <si>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</si>
  <si>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</si>
  <si>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</si>
  <si>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</si>
  <si>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</si>
  <si>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</si>
  <si>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</si>
  <si>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</si>
  <si>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</si>
  <si>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</si>
  <si>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</si>
  <si>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</si>
  <si>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</si>
  <si>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</si>
  <si>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</si>
  <si>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</si>
  <si>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</si>
  <si>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</si>
  <si>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</si>
  <si>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</si>
  <si>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</si>
  <si>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</si>
  <si>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</si>
  <si>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</si>
  <si>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</si>
  <si>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</si>
  <si>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</si>
  <si>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</si>
  <si>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</si>
  <si>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</si>
  <si>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</si>
  <si>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</si>
  <si>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</si>
  <si>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</si>
  <si>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</si>
  <si>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</si>
  <si>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</si>
  <si>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</si>
  <si>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</si>
  <si>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</si>
  <si>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</si>
  <si>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</si>
  <si>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</si>
  <si>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</si>
  <si>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</si>
  <si>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</si>
  <si>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</si>
  <si>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</si>
  <si>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</si>
  <si>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</si>
  <si>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</si>
  <si>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</si>
  <si>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</si>
  <si>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</si>
  <si>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</si>
  <si>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</si>
  <si>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</si>
  <si>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</si>
  <si>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</si>
  <si>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</si>
  <si>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</si>
  <si>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</si>
  <si>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</si>
  <si>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</si>
  <si>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</si>
  <si>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</si>
  <si>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</si>
  <si>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</si>
  <si>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</si>
  <si>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</si>
  <si>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</si>
  <si>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</si>
  <si>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</si>
  <si>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</si>
  <si>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</si>
  <si>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</si>
  <si>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</si>
  <si>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</si>
  <si>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</si>
  <si>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</si>
  <si>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</si>
  <si>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</si>
  <si>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</si>
  <si>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</si>
  <si>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</si>
  <si>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</si>
  <si>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</si>
  <si>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</si>
  <si>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</si>
  <si>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</si>
  <si>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</si>
  <si>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</si>
  <si>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</si>
  <si>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</si>
  <si>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</si>
  <si>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</si>
  <si>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</si>
  <si>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</si>
  <si>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</si>
  <si>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</si>
  <si>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</si>
  <si>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</si>
  <si>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</si>
  <si>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</si>
  <si>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</si>
  <si>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</si>
  <si>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</si>
  <si>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</si>
  <si>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</si>
  <si>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</si>
  <si>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</si>
  <si>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</si>
  <si>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</si>
  <si>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</si>
  <si>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</si>
  <si>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</si>
  <si>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</si>
  <si>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</si>
  <si>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</si>
  <si>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</si>
  <si>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</si>
  <si>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</si>
  <si>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</si>
  <si>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</si>
  <si>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</si>
  <si>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</si>
  <si>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</si>
  <si>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</si>
  <si>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</si>
  <si>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</si>
  <si>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</si>
  <si>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</si>
  <si>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</si>
  <si>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</si>
  <si>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</si>
  <si>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</si>
  <si>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</si>
  <si>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</si>
  <si>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</si>
  <si>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</si>
  <si>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</si>
  <si>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</si>
  <si>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</si>
  <si>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</si>
  <si>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</si>
  <si>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</si>
  <si>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</si>
  <si>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</si>
  <si>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</si>
  <si>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</si>
  <si>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</si>
  <si>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</si>
  <si>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</si>
  <si>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</si>
  <si>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</si>
  <si>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</si>
  <si>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</si>
  <si>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</si>
  <si>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</si>
  <si>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</si>
  <si>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</si>
  <si>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</si>
  <si>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</si>
  <si>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</si>
  <si>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</si>
  <si>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</si>
  <si>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</si>
  <si>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</si>
  <si>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</si>
  <si>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</si>
  <si>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</si>
  <si>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</si>
  <si>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</si>
  <si>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</si>
  <si>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</si>
  <si>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</si>
  <si>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</si>
  <si>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</si>
  <si>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</si>
  <si>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</si>
  <si>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</si>
  <si>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</si>
  <si>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</si>
  <si>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</si>
  <si>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</si>
  <si>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</si>
  <si>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</si>
  <si>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</si>
  <si>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</si>
  <si>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</si>
  <si>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</si>
  <si>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</si>
  <si>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</si>
  <si>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</si>
  <si>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</si>
  <si>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</si>
  <si>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</si>
  <si>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</si>
  <si>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</si>
  <si>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</si>
  <si>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</si>
  <si>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</si>
  <si>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</si>
  <si>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</si>
  <si>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</si>
  <si>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</si>
  <si>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</si>
  <si>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</si>
  <si>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</si>
  <si>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</si>
  <si>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</si>
  <si>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</si>
  <si>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</si>
  <si>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</si>
  <si>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</si>
  <si>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</si>
  <si>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</si>
  <si>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</si>
  <si>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</si>
  <si>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</si>
  <si>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</si>
  <si>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</si>
  <si>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</si>
  <si>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</si>
  <si>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</si>
  <si>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</si>
  <si>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</si>
  <si>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</si>
  <si>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</si>
  <si>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</si>
  <si>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</si>
  <si>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</si>
  <si>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</si>
  <si>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</si>
  <si>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</si>
  <si>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</si>
  <si>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</si>
  <si>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</si>
  <si>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</si>
  <si>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</si>
  <si>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</si>
  <si>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</si>
  <si>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</si>
  <si>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</si>
  <si>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</si>
  <si>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</si>
  <si>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</si>
  <si>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</si>
  <si>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</si>
  <si>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</si>
  <si>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</si>
  <si>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</si>
  <si>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</si>
  <si>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</si>
  <si>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</si>
  <si>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</si>
  <si>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</si>
  <si>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</si>
  <si>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</si>
  <si>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</si>
  <si>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</si>
  <si>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</si>
  <si>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</si>
  <si>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</si>
  <si>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</si>
  <si>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</si>
  <si>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</si>
  <si>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</si>
  <si>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</si>
  <si>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</si>
  <si>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</si>
  <si>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</si>
  <si>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</si>
  <si>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</si>
  <si>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</si>
  <si>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</si>
  <si>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</si>
  <si>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</si>
  <si>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</si>
  <si>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</si>
  <si>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</si>
  <si>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</si>
  <si>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</si>
  <si>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</si>
  <si>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</si>
  <si>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</si>
  <si>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</si>
  <si>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</si>
  <si>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</si>
  <si>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</si>
  <si>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</si>
  <si>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</si>
  <si>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</si>
  <si>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</si>
  <si>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</si>
  <si>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</si>
  <si>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</si>
  <si>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</si>
  <si>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</si>
  <si>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</si>
  <si>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</si>
  <si>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</si>
  <si>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</si>
  <si>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</si>
  <si>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</si>
  <si>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</si>
  <si>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</si>
  <si>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</si>
  <si>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</si>
  <si>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</si>
  <si>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</si>
  <si>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</si>
  <si>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</si>
  <si>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</si>
  <si>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</si>
  <si>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</si>
  <si>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</si>
  <si>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</si>
  <si>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</si>
  <si>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</si>
  <si>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</si>
  <si>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</si>
  <si>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</si>
  <si>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</si>
  <si>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</si>
  <si>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</si>
  <si>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</si>
  <si>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</si>
  <si>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</si>
  <si>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</si>
  <si>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</si>
  <si>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</si>
  <si>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</si>
  <si>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</si>
  <si>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</si>
  <si>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</si>
  <si>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</si>
  <si>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</si>
  <si>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</si>
  <si>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</si>
  <si>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</si>
  <si>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</si>
  <si>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</si>
  <si>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</si>
  <si>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</si>
  <si>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</si>
  <si>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</si>
  <si>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</si>
  <si>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</si>
  <si>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</si>
  <si>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</si>
  <si>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</si>
  <si>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</si>
  <si>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</si>
  <si>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</si>
  <si>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</si>
  <si>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</si>
  <si>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</si>
  <si>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</si>
  <si>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</si>
  <si>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</si>
  <si>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</si>
  <si>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</si>
  <si>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</si>
  <si>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</si>
  <si>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</si>
  <si>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</si>
  <si>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</si>
  <si>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</si>
  <si>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</si>
  <si>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</si>
  <si>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</si>
  <si>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</si>
  <si>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</si>
  <si>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</si>
  <si>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</si>
  <si>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</si>
  <si>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</si>
  <si>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</si>
  <si>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</si>
  <si>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</si>
  <si>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</si>
  <si>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</si>
  <si>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</si>
  <si>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</si>
  <si>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</si>
  <si>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</si>
  <si>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</si>
  <si>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</si>
  <si>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</si>
  <si>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</si>
  <si>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</si>
  <si>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</si>
  <si>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</si>
  <si>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</si>
  <si>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</si>
  <si>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</si>
  <si>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</si>
  <si>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</si>
  <si>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</si>
  <si>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</si>
  <si>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</si>
  <si>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</si>
  <si>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</si>
  <si>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</si>
  <si>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</si>
  <si>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</si>
  <si>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</si>
  <si>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</si>
  <si>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</si>
  <si>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</si>
  <si>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</si>
  <si>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</si>
  <si>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</si>
  <si>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</si>
  <si>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</si>
  <si>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</si>
  <si>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</si>
  <si>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</si>
  <si>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</si>
  <si>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</si>
  <si>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</si>
  <si>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</si>
  <si>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</si>
  <si>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</si>
  <si>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</si>
  <si>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</si>
  <si>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</si>
  <si>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</si>
  <si>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</si>
  <si>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</si>
  <si>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</si>
  <si>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</si>
  <si>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</si>
  <si>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</si>
  <si>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</si>
  <si>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</si>
  <si>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</si>
  <si>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</si>
  <si>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</si>
  <si>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</si>
  <si>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</si>
  <si>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</si>
  <si>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</si>
  <si>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</si>
  <si>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</si>
  <si>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</si>
  <si>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</si>
  <si>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</si>
  <si>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</si>
  <si>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</si>
  <si>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</si>
  <si>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</si>
  <si>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</si>
  <si>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</si>
  <si>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</si>
  <si>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</si>
  <si>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</si>
  <si>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</si>
  <si>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</si>
  <si>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</si>
  <si>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</si>
  <si>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</si>
  <si>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</si>
  <si>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</si>
  <si>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</si>
  <si>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</si>
  <si>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</si>
  <si>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</si>
  <si>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</si>
  <si>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</si>
  <si>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</si>
  <si>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</si>
  <si>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</si>
  <si>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</si>
  <si>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</si>
  <si>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</si>
  <si>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</si>
  <si>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</si>
  <si>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</si>
  <si>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</si>
  <si>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</si>
  <si>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</si>
  <si>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</si>
  <si>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</si>
  <si>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</si>
  <si>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</si>
  <si>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</si>
  <si>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</si>
  <si>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</si>
  <si>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</si>
  <si>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</si>
  <si>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</si>
  <si>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</si>
  <si>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</si>
  <si>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</si>
  <si>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</si>
  <si>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</si>
  <si>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</si>
  <si>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</si>
  <si>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</si>
  <si>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</si>
  <si>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</si>
  <si>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</si>
  <si>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</si>
  <si>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</si>
  <si>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</si>
  <si>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</si>
  <si>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</si>
  <si>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</si>
  <si>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</si>
  <si>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</si>
  <si>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</si>
  <si>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</si>
  <si>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</si>
  <si>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</si>
  <si>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</si>
  <si>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</si>
  <si>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</si>
  <si>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</si>
  <si>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</si>
  <si>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</si>
  <si>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</si>
  <si>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</si>
  <si>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</si>
  <si>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</si>
  <si>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</si>
  <si>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</si>
  <si>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</si>
  <si>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</si>
  <si>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</si>
  <si>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</si>
  <si>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</si>
  <si>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</si>
  <si>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</si>
  <si>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</si>
  <si>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</si>
  <si>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</si>
  <si>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</si>
  <si>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</si>
  <si>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</si>
  <si>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</si>
  <si>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</si>
  <si>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</si>
  <si>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</si>
  <si>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</si>
  <si>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</si>
  <si>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</si>
  <si>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</si>
  <si>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</si>
  <si>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</si>
  <si>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</si>
  <si>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</si>
  <si>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</si>
  <si>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</si>
  <si>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</si>
  <si>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</si>
  <si>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</si>
  <si>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</si>
  <si>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</si>
  <si>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</si>
  <si>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</si>
  <si>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</si>
  <si>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</si>
  <si>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</si>
  <si>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</si>
  <si>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</si>
  <si>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</si>
  <si>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</si>
  <si>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</si>
  <si>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</si>
  <si>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</si>
  <si>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</si>
  <si>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</si>
  <si>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</si>
  <si>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</si>
  <si>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</si>
  <si>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</si>
  <si>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</si>
  <si>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</si>
  <si>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</si>
  <si>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</si>
  <si>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</si>
  <si>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</si>
  <si>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</si>
  <si>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</si>
  <si>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</si>
  <si>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</si>
  <si>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</si>
  <si>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</si>
  <si>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</si>
  <si>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</si>
  <si>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</si>
  <si>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</si>
  <si>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</si>
  <si>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</si>
  <si>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</si>
  <si>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</si>
  <si>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</si>
  <si>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</si>
  <si>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</si>
  <si>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</si>
  <si>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</si>
  <si>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</si>
  <si>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</si>
  <si>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</si>
  <si>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</si>
  <si>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</si>
  <si>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</si>
  <si>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</si>
  <si>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</si>
  <si>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</si>
  <si>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</si>
  <si>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</si>
  <si>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</si>
  <si>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</si>
  <si>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</si>
  <si>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</si>
  <si>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</si>
  <si>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</si>
  <si>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</si>
  <si>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</si>
  <si>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</si>
  <si>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</si>
  <si>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</si>
  <si>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</si>
  <si>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</si>
  <si>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</si>
  <si>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</si>
  <si>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</si>
  <si>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</si>
  <si>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</si>
  <si>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</si>
  <si>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</si>
  <si>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</si>
  <si>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</si>
  <si>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</si>
  <si>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</si>
  <si>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</si>
  <si>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</si>
  <si>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</si>
  <si>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</si>
  <si>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</si>
  <si>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</si>
  <si>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</si>
  <si>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</si>
  <si>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</si>
  <si>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</si>
  <si>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</si>
  <si>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</si>
  <si>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</si>
  <si>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</si>
  <si>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</si>
  <si>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</si>
  <si>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</si>
  <si>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</si>
  <si>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</si>
  <si>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</si>
  <si>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</si>
  <si>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</si>
  <si>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</si>
  <si>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</si>
  <si>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</si>
  <si>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</si>
  <si>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</si>
  <si>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</si>
  <si>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</si>
  <si>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</si>
  <si>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</si>
  <si>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</si>
  <si>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</si>
  <si>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</si>
  <si>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</si>
  <si>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</si>
  <si>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</si>
  <si>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</si>
  <si>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</si>
  <si>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</si>
  <si>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</si>
  <si>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</si>
  <si>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</si>
  <si>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</si>
  <si>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</si>
  <si>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</si>
  <si>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</si>
  <si>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</si>
  <si>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</si>
  <si>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</si>
  <si>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</si>
  <si>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</si>
  <si>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</si>
  <si>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</si>
  <si>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</si>
  <si>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</si>
  <si>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</si>
  <si>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</si>
  <si>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</si>
  <si>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</si>
  <si>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</si>
  <si>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</si>
  <si>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</si>
  <si>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</si>
  <si>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</si>
  <si>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</si>
  <si>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</si>
  <si>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</si>
  <si>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</si>
  <si>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</si>
  <si>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</si>
  <si>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</si>
  <si>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</si>
  <si>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</si>
  <si>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</si>
  <si>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</si>
  <si>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</si>
  <si>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</si>
  <si>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</si>
  <si>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</si>
  <si>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</si>
  <si>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</si>
  <si>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</si>
  <si>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</si>
  <si>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</si>
  <si>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</si>
  <si>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</si>
  <si>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</si>
  <si>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</si>
  <si>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</si>
  <si>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</si>
  <si>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</si>
  <si>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</si>
  <si>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</si>
  <si>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</si>
  <si>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</si>
  <si>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</si>
  <si>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</si>
  <si>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</si>
  <si>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</si>
  <si>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</si>
  <si>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</si>
  <si>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</si>
  <si>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</si>
  <si>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</si>
  <si>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</si>
  <si>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</si>
  <si>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</si>
  <si>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</si>
  <si>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</si>
  <si>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</si>
  <si>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</si>
  <si>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</si>
  <si>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</si>
  <si>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</si>
  <si>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</si>
  <si>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</si>
  <si>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</si>
  <si>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</si>
  <si>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</si>
  <si>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</si>
  <si>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</si>
  <si>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</si>
  <si>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</si>
  <si>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</si>
  <si>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</si>
  <si>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</si>
  <si>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</si>
  <si>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</si>
  <si>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</si>
  <si>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</si>
  <si>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</si>
  <si>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</si>
  <si>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</si>
  <si>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</si>
  <si>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</si>
  <si>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</si>
  <si>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</si>
  <si>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</si>
  <si>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</si>
  <si>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</si>
  <si>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</si>
  <si>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</si>
  <si>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</si>
  <si>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</si>
  <si>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</si>
  <si>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</si>
  <si>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</si>
  <si>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</si>
  <si>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</si>
  <si>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</si>
  <si>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</si>
  <si>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</si>
  <si>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</si>
  <si>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</si>
  <si>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</si>
  <si>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</si>
  <si>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</si>
  <si>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</si>
  <si>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</si>
  <si>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</si>
  <si>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</si>
  <si>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</si>
  <si>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</si>
  <si>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</si>
  <si>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</si>
  <si>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</si>
  <si>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</si>
  <si>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</si>
  <si>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</si>
  <si>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</si>
  <si>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</si>
  <si>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</si>
  <si>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</si>
  <si>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</si>
  <si>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</si>
  <si>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</si>
  <si>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</si>
  <si>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</si>
  <si>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</si>
  <si>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</si>
  <si>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</si>
  <si>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</si>
  <si>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</si>
  <si>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</si>
  <si>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</si>
  <si>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</si>
  <si>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</si>
  <si>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</si>
  <si>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</si>
  <si>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</si>
  <si>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</si>
  <si>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</si>
  <si>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</si>
  <si>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</si>
  <si>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</si>
  <si>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</si>
  <si>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</si>
  <si>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</si>
  <si>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</si>
  <si>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</si>
  <si>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</si>
  <si>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</si>
  <si>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</si>
  <si>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</si>
  <si>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</si>
  <si>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</si>
  <si>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</si>
  <si>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</si>
  <si>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</si>
  <si>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</si>
  <si>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</si>
  <si>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</si>
  <si>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</si>
  <si>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</si>
  <si>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</si>
  <si>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</si>
  <si>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</si>
  <si>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</si>
  <si>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</si>
  <si>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</si>
  <si>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</si>
  <si>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</si>
  <si>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</si>
  <si>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</si>
  <si>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</si>
  <si>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</si>
  <si>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</si>
  <si>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</si>
  <si>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</si>
  <si>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</si>
  <si>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</si>
  <si>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</si>
  <si>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</si>
  <si>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</si>
  <si>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</si>
  <si>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</si>
  <si>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</si>
  <si>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</si>
  <si>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</si>
  <si>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</si>
  <si>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</si>
  <si>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</si>
  <si>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</si>
  <si>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</si>
  <si>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</si>
  <si>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</si>
  <si>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</si>
  <si>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</si>
  <si>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</si>
  <si>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</si>
  <si>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</si>
  <si>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</si>
  <si>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</si>
  <si>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</si>
  <si>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</si>
  <si>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</si>
  <si>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</si>
  <si>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</si>
  <si>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</si>
  <si>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</si>
  <si>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</si>
  <si>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</si>
  <si>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</si>
  <si>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</si>
  <si>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</si>
  <si>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</si>
  <si>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</si>
  <si>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</si>
  <si>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</si>
  <si>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</si>
  <si>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</si>
  <si>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</si>
  <si>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</si>
  <si>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</si>
  <si>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</si>
  <si>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</si>
  <si>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</si>
  <si>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</si>
  <si>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</si>
  <si>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</si>
  <si>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</si>
  <si>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</si>
  <si>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</si>
  <si>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</si>
  <si>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</si>
  <si>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</si>
  <si>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</si>
  <si>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</si>
  <si>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</si>
  <si>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</si>
  <si>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</si>
  <si>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</si>
  <si>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</si>
  <si>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</si>
  <si>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</si>
  <si>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</si>
  <si>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</si>
  <si>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</si>
  <si>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</si>
  <si>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</si>
  <si>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</si>
  <si>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</si>
  <si>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</si>
  <si>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</si>
  <si>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</si>
  <si>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</si>
  <si>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</si>
  <si>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</si>
  <si>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</si>
  <si>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</si>
  <si>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</si>
  <si>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</si>
  <si>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</si>
  <si>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</si>
  <si>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</si>
  <si>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</si>
  <si>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</si>
  <si>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</si>
  <si>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</si>
  <si>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</si>
  <si>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</si>
  <si>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</si>
  <si>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</si>
  <si>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</si>
  <si>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</si>
  <si>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</si>
  <si>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</si>
  <si>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</si>
  <si>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</si>
  <si>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</si>
  <si>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</si>
  <si>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</si>
  <si>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</si>
  <si>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</si>
  <si>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</si>
  <si>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</si>
  <si>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</si>
  <si>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</si>
  <si>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</si>
  <si>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</si>
  <si>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</si>
  <si>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</si>
  <si>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</si>
  <si>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</si>
  <si>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</si>
  <si>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</si>
  <si>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</si>
  <si>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</si>
  <si>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</si>
  <si>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</si>
  <si>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</si>
  <si>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</si>
  <si>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</si>
  <si>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</si>
  <si>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</si>
  <si>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</si>
  <si>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</si>
  <si>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</si>
  <si>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</si>
  <si>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</si>
  <si>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</si>
  <si>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</si>
  <si>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</si>
  <si>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</si>
  <si>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</si>
  <si>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</si>
  <si>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</si>
  <si>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</si>
  <si>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</si>
  <si>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</si>
  <si>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</si>
  <si>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</si>
  <si>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</si>
  <si>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</si>
  <si>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</si>
  <si>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</si>
  <si>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</si>
  <si>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</si>
  <si>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</si>
  <si>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</si>
  <si>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</si>
  <si>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</si>
  <si>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</si>
  <si>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</si>
  <si>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</si>
  <si>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</si>
  <si>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</si>
  <si>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</si>
  <si>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</si>
  <si>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</si>
  <si>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</si>
  <si>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</si>
  <si>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</si>
  <si>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</si>
  <si>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</si>
  <si>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</si>
  <si>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</si>
  <si>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</si>
  <si>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</si>
  <si>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</si>
  <si>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</si>
  <si>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</si>
  <si>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</si>
  <si>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</si>
  <si>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</si>
  <si>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</si>
  <si>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</si>
  <si>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</si>
  <si>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</si>
  <si>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</si>
  <si>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</si>
  <si>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</si>
  <si>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</si>
  <si>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</si>
  <si>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</si>
  <si>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</si>
  <si>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</si>
  <si>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</si>
  <si>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</si>
  <si>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</si>
  <si>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</si>
  <si>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</si>
  <si>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</si>
  <si>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</si>
  <si>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</si>
  <si>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</si>
  <si>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</si>
  <si>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</si>
  <si>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</si>
  <si>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</si>
  <si>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</si>
  <si>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</si>
  <si>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</si>
  <si>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</si>
  <si>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</si>
  <si>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</si>
  <si>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</si>
  <si>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</si>
  <si>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</si>
  <si>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</si>
  <si>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</si>
  <si>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</si>
  <si>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</si>
  <si>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</si>
  <si>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</si>
  <si>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</si>
  <si>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</si>
  <si>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</si>
  <si>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</si>
  <si>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</si>
  <si>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</si>
  <si>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</si>
  <si>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</si>
  <si>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</si>
  <si>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</si>
  <si>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</si>
  <si>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</si>
  <si>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</si>
  <si>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</si>
  <si>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</si>
  <si>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</si>
  <si>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</si>
  <si>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</si>
  <si>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</si>
  <si>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</si>
  <si>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</si>
  <si>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</si>
  <si>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</si>
  <si>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</si>
  <si>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</si>
  <si>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</si>
  <si>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</si>
  <si>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</si>
  <si>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</si>
  <si>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</si>
  <si>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</si>
  <si>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</si>
  <si>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</si>
  <si>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</si>
  <si>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</si>
  <si>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</si>
  <si>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</si>
  <si>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</si>
  <si>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</si>
  <si>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</si>
  <si>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</si>
  <si>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</si>
  <si>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</si>
  <si>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</si>
  <si>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</si>
  <si>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</si>
  <si>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</si>
  <si>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</si>
  <si>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</si>
  <si>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</si>
  <si>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</si>
  <si>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</si>
  <si>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</si>
  <si>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</si>
  <si>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</si>
  <si>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</si>
  <si>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</si>
  <si>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</si>
  <si>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</si>
  <si>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</si>
  <si>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</si>
  <si>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</si>
  <si>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</si>
  <si>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</si>
  <si>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</si>
  <si>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</si>
  <si>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</si>
  <si>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</si>
  <si>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</si>
  <si>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</si>
  <si>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</si>
  <si>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</si>
  <si>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</si>
  <si>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</si>
  <si>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</si>
  <si>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</si>
  <si>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</si>
  <si>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</si>
  <si>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</si>
  <si>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</si>
  <si>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</si>
  <si>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</si>
  <si>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</si>
  <si>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</si>
  <si>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</si>
  <si>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</si>
  <si>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</si>
  <si>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</si>
  <si>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</si>
  <si>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</si>
  <si>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</si>
  <si>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</si>
  <si>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</si>
  <si>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</si>
  <si>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</si>
  <si>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</si>
  <si>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</si>
  <si>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</si>
  <si>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</si>
  <si>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</si>
  <si>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</si>
  <si>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</si>
  <si>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</si>
  <si>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</si>
  <si>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</si>
  <si>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</si>
  <si>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</si>
  <si>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</si>
  <si>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</si>
  <si>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</si>
  <si>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</si>
  <si>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</si>
  <si>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</si>
  <si>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</si>
  <si>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</si>
  <si>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</si>
  <si>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</si>
  <si>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</si>
  <si>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</si>
  <si>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</si>
  <si>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</si>
  <si>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</si>
  <si>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</si>
  <si>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</si>
  <si>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</si>
  <si>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</si>
  <si>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</si>
  <si>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</si>
  <si>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</si>
  <si>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</si>
  <si>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</si>
  <si>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</si>
  <si>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</si>
  <si>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</si>
  <si>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</si>
  <si>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</si>
  <si>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</si>
  <si>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</si>
  <si>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</si>
  <si>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</si>
  <si>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</si>
  <si>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</si>
  <si>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</si>
  <si>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</si>
  <si>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</si>
  <si>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</si>
  <si>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</si>
  <si>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</si>
  <si>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</si>
  <si>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</si>
  <si>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</si>
  <si>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</si>
  <si>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</si>
  <si>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</si>
  <si>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</si>
  <si>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</si>
  <si>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</si>
  <si>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</si>
  <si>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</si>
  <si>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</si>
  <si>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</si>
  <si>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</si>
  <si>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</si>
  <si>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</si>
  <si>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</si>
  <si>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</si>
  <si>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</si>
  <si>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</si>
  <si>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</si>
  <si>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</si>
  <si>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</si>
  <si>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</si>
  <si>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</si>
  <si>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</si>
  <si>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</si>
  <si>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</si>
  <si>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</si>
  <si>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</si>
  <si>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</si>
  <si>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</si>
  <si>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</si>
  <si>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</si>
  <si>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</si>
  <si>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</si>
  <si>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</si>
  <si>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</si>
  <si>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</si>
  <si>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</si>
  <si>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</si>
  <si>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</si>
  <si>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</si>
  <si>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</si>
  <si>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</si>
  <si>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</si>
  <si>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</si>
  <si>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</si>
  <si>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</si>
  <si>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</si>
  <si>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</si>
  <si>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</si>
  <si>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</si>
  <si>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</si>
  <si>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</si>
  <si>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</si>
  <si>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</si>
  <si>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</si>
  <si>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</si>
  <si>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</si>
  <si>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</si>
  <si>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</si>
  <si>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</si>
  <si>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</si>
  <si>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</si>
  <si>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</si>
  <si>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</si>
  <si>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</si>
  <si>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</si>
  <si>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</si>
  <si>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</si>
  <si>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</si>
  <si>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</si>
  <si>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</si>
  <si>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</si>
  <si>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</si>
  <si>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</si>
  <si>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</si>
  <si>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</si>
  <si>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</si>
  <si>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</si>
  <si>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</si>
  <si>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</si>
  <si>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</si>
  <si>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</si>
  <si>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</si>
  <si>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</si>
  <si>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</si>
  <si>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</si>
  <si>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</si>
  <si>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</si>
  <si>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</si>
  <si>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</si>
  <si>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</si>
  <si>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</si>
  <si>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、高端取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</si>
  <si>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</si>
  <si>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</si>
  <si>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</si>
  <si>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</si>
  <si>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</si>
  <si>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</si>
  <si>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</si>
  <si>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</si>
  <si>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</si>
  <si>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</si>
  <si>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</si>
  <si>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</si>
  <si>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</si>
  <si>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</si>
  <si>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</si>
  <si>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</si>
  <si>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</si>
  <si>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</si>
  <si>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</si>
  <si>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</si>
  <si>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</si>
  <si>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</si>
  <si>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</si>
  <si>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</si>
  <si>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</si>
  <si>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</si>
  <si>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</si>
  <si>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</si>
  <si>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</si>
  <si>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</si>
  <si>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</si>
  <si>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</si>
  <si>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</si>
  <si>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</si>
  <si>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</si>
  <si>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</si>
  <si>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</si>
  <si>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</si>
  <si>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</si>
  <si>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</si>
  <si>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</si>
  <si>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</si>
  <si>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</si>
  <si>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</si>
  <si>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</si>
  <si>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</si>
  <si>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</si>
  <si>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</si>
  <si>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</si>
  <si>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</si>
  <si>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</si>
  <si>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</si>
  <si>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</si>
  <si>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</si>
  <si>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</si>
  <si>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</si>
  <si>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</si>
  <si>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</si>
  <si>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</si>
  <si>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</si>
  <si>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</si>
  <si>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</si>
  <si>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</si>
  <si>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</si>
  <si>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</si>
  <si>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</si>
  <si>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</si>
  <si>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</si>
  <si>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</si>
  <si>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</si>
  <si>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</si>
  <si>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</si>
  <si>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</si>
  <si>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</si>
  <si>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</si>
  <si>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</si>
  <si>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</si>
  <si>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</si>
  <si>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</si>
  <si>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</si>
  <si>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</si>
  <si>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</si>
  <si>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</si>
  <si>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</si>
  <si>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</si>
  <si>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</si>
  <si>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</si>
  <si>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</si>
  <si>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</si>
  <si>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</si>
  <si>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</si>
  <si>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</si>
  <si>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</si>
  <si>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</si>
  <si>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</si>
  <si>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</si>
  <si>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</si>
  <si>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</si>
  <si>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</si>
  <si>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</si>
  <si>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</si>
  <si>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</si>
  <si>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</si>
  <si>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</si>
  <si>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</si>
  <si>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</si>
  <si>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</si>
  <si>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</si>
  <si>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</si>
  <si>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</si>
  <si>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</si>
  <si>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</si>
  <si>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</si>
  <si>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</si>
  <si>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</si>
  <si>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</si>
  <si>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</si>
  <si>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</si>
  <si>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</si>
  <si>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</si>
  <si>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</si>
  <si>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</si>
  <si>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</si>
  <si>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</si>
  <si>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</si>
  <si>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</si>
  <si>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</si>
  <si>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</si>
  <si>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</si>
  <si>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</si>
  <si>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</si>
  <si>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</si>
  <si>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</si>
  <si>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</si>
  <si>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</si>
  <si>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</si>
  <si>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</si>
  <si>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</si>
  <si>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</si>
  <si>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</si>
  <si>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</si>
  <si>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</si>
  <si>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</si>
  <si>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</si>
  <si>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</si>
  <si>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</si>
  <si>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</si>
  <si>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</si>
  <si>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</si>
  <si>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</si>
  <si>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</si>
  <si>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</si>
  <si>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</si>
  <si>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</si>
  <si>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</si>
  <si>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</si>
  <si>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</si>
  <si>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</si>
  <si>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</si>
  <si>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</si>
  <si>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</si>
  <si>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</si>
  <si>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</si>
  <si>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</si>
  <si>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</si>
  <si>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</si>
  <si>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</si>
  <si>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</si>
  <si>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</si>
  <si>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</si>
  <si>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</si>
  <si>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</si>
  <si>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</si>
  <si>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</si>
  <si>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</si>
  <si>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</si>
  <si>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</si>
  <si>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</si>
  <si>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</si>
  <si>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</si>
  <si>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</si>
  <si>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</si>
  <si>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</si>
  <si>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</si>
  <si>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</si>
  <si>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</si>
  <si>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</si>
  <si>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</si>
  <si>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</si>
  <si>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</si>
  <si>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</si>
  <si>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</si>
  <si>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 AL_UtilActual 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</si>
  <si>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</si>
  <si>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</si>
  <si>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</si>
  <si>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</si>
  <si>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</si>
  <si>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</si>
  <si>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</si>
  <si>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</si>
  <si>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</si>
  <si>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</si>
  <si>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</si>
  <si>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</si>
  <si>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</si>
  <si>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</si>
  <si>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</si>
  <si>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</si>
  <si>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</si>
  <si>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</si>
  <si>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</si>
  <si>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</si>
  <si>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</si>
  <si>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</si>
  <si>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</si>
  <si>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</si>
  <si>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</si>
  <si>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</si>
  <si>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</si>
  <si>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</si>
  <si>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</si>
  <si>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</si>
  <si>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</si>
  <si>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</si>
  <si>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</si>
  <si>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</si>
  <si>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</si>
  <si>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</si>
  <si>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</si>
  <si>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</si>
  <si>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</si>
  <si>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</si>
  <si>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</si>
  <si>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</si>
  <si>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</si>
  <si>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</si>
  <si>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0.3645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0.8098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L1_FleetBreakeven 0.1505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CTL_ProdDerate 0.85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</si>
  <si>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</si>
  <si>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</si>
  <si>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</si>
  <si>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</si>
  <si>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</si>
  <si>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</si>
  <si>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</si>
  <si>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</si>
  <si>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</si>
  <si>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</si>
  <si>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</si>
  <si>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</si>
  <si>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</si>
  <si>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</si>
  <si>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</si>
  <si>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</si>
  <si>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</si>
  <si>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</si>
  <si>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</si>
  <si>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</si>
  <si>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</si>
  <si>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</si>
  <si>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</si>
  <si>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</si>
  <si>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</si>
  <si>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</si>
  <si>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</si>
  <si>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</si>
  <si>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</si>
  <si>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</si>
  <si>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</si>
  <si>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</si>
  <si>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</si>
  <si>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</si>
  <si>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</si>
  <si>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</si>
  <si>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</si>
  <si>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</si>
  <si>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</si>
  <si>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</si>
  <si>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</si>
  <si>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</si>
  <si>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</si>
  <si>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</si>
  <si>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</si>
  <si>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</si>
  <si>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</si>
  <si>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</si>
  <si>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</si>
  <si>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</si>
  <si>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</si>
  <si>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</si>
  <si>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</si>
  <si>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</si>
  <si>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</si>
  <si>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</si>
  <si>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</si>
  <si>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</si>
  <si>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</si>
  <si>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</si>
  <si>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</si>
  <si>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</si>
  <si>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</si>
  <si>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</si>
  <si>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</si>
  <si>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</si>
  <si>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</si>
  <si>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</si>
  <si>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</si>
  <si>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</si>
  <si>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</si>
  <si>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</si>
  <si>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</si>
  <si>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</si>
  <si>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</si>
  <si>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</si>
  <si>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</si>
  <si>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</si>
  <si>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</si>
  <si>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</si>
  <si>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</si>
  <si>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</si>
  <si>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</si>
  <si>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</si>
  <si>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</si>
  <si>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</si>
  <si>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</si>
  <si>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</si>
  <si>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</si>
  <si>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</si>
  <si>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</si>
  <si>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</si>
  <si>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</si>
  <si>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</si>
  <si>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</si>
  <si>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</si>
  <si>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</si>
  <si>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</si>
  <si>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</si>
  <si>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</si>
  <si>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</si>
  <si>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</si>
  <si>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</si>
  <si>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</si>
  <si>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</si>
  <si>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</si>
  <si>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</si>
  <si>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</si>
  <si>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</si>
  <si>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</si>
  <si>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</si>
  <si>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</si>
  <si>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</si>
  <si>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</si>
  <si>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</si>
  <si>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</si>
  <si>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</si>
  <si>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</si>
  <si>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</si>
  <si>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</si>
  <si>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</si>
  <si>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</si>
  <si>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</si>
  <si>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</si>
  <si>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</si>
  <si>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</si>
  <si>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</si>
  <si>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</si>
  <si>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</si>
  <si>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</si>
  <si>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</si>
  <si>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</si>
  <si>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</si>
  <si>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</si>
  <si>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</si>
  <si>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</si>
  <si>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</si>
  <si>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</si>
  <si>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</si>
  <si>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</si>
  <si>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</si>
  <si>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</si>
  <si>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</si>
  <si>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</si>
  <si>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</si>
  <si>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</si>
  <si>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</si>
  <si>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</si>
  <si>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</si>
  <si>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</si>
  <si>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</si>
  <si>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</si>
  <si>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</si>
  <si>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</si>
  <si>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</si>
  <si>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</si>
  <si>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</si>
  <si>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</si>
  <si>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</si>
  <si>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</si>
  <si>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</si>
  <si>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</si>
  <si>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</si>
  <si>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</si>
  <si>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</si>
  <si>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</si>
  <si>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</si>
  <si>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</si>
  <si>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</si>
  <si>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</si>
  <si>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</si>
  <si>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</si>
  <si>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</si>
  <si>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</si>
  <si>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</si>
  <si>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</si>
  <si>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</si>
  <si>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</si>
  <si>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</si>
  <si>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</si>
  <si>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</si>
  <si>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</si>
  <si>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</si>
  <si>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</si>
  <si>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</si>
  <si>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</si>
  <si>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</si>
  <si>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</si>
  <si>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</si>
  <si>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</si>
  <si>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</si>
  <si>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</si>
  <si>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</si>
  <si>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</si>
  <si>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</si>
  <si>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</si>
  <si>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</si>
  <si>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</si>
  <si>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</si>
  <si>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</si>
  <si>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</si>
  <si>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</si>
  <si>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</si>
  <si>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</si>
  <si>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</si>
  <si>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</si>
  <si>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</si>
  <si>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</si>
  <si>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</si>
  <si>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</si>
  <si>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</si>
  <si>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</si>
  <si>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</si>
  <si>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</si>
  <si>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</si>
  <si>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</si>
  <si>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</si>
  <si>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</si>
  <si>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</si>
  <si>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</si>
  <si>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</si>
  <si>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</si>
  <si>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</si>
  <si>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</si>
  <si>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</si>
  <si>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</si>
  <si>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</si>
  <si>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</si>
  <si>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</si>
  <si>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</si>
  <si>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</si>
  <si>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</si>
  <si>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</si>
  <si>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</si>
  <si>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</si>
  <si>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</si>
  <si>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</si>
  <si>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</si>
  <si>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</si>
  <si>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</si>
  <si>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</si>
  <si>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</si>
  <si>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</si>
  <si>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</si>
  <si>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</si>
  <si>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</si>
  <si>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</si>
  <si>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</si>
  <si>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</si>
  <si>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</si>
  <si>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</si>
  <si>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</si>
  <si>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</si>
  <si>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</si>
  <si>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</si>
  <si>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</si>
  <si>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</si>
  <si>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</si>
  <si>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</si>
  <si>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</si>
  <si>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</si>
  <si>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</si>
  <si>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</si>
  <si>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</si>
  <si>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</si>
  <si>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</si>
  <si>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</si>
  <si>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</si>
  <si>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</si>
  <si>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</si>
  <si>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</si>
  <si>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</si>
  <si>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</si>
  <si>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</si>
  <si>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</si>
  <si>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</si>
  <si>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</si>
  <si>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</si>
  <si>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</si>
  <si>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</si>
  <si>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</si>
  <si>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</si>
  <si>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</si>
  <si>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</si>
  <si>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</si>
  <si>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</si>
  <si>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</si>
  <si>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</si>
  <si>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</si>
  <si>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</si>
  <si>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</si>
  <si>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</si>
  <si>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</si>
  <si>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</si>
  <si>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</si>
  <si>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</si>
  <si>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</si>
  <si>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</si>
  <si>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</si>
  <si>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</si>
  <si>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</si>
  <si>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</si>
  <si>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</si>
  <si>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</si>
  <si>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</si>
  <si>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</si>
  <si>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</si>
  <si>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</si>
  <si>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</si>
  <si>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</si>
  <si>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</si>
  <si>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</si>
  <si>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</si>
  <si>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</si>
  <si>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</si>
  <si>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</si>
  <si>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</si>
  <si>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</si>
  <si>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</si>
  <si>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</si>
  <si>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</si>
  <si>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</si>
  <si>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</si>
  <si>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</si>
  <si>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</si>
  <si>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</si>
  <si>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</si>
  <si>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</si>
  <si>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</si>
  <si>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</si>
  <si>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</si>
  <si>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</si>
  <si>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</si>
  <si>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</si>
  <si>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</si>
  <si>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</si>
  <si>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</si>
  <si>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</si>
  <si>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</si>
  <si>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</si>
  <si>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</si>
  <si>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</si>
  <si>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</si>
  <si>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</si>
  <si>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</si>
  <si>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</si>
  <si>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</si>
  <si>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</si>
  <si>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</si>
  <si>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</si>
  <si>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</si>
  <si>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</si>
  <si>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</si>
  <si>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</si>
  <si>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</si>
  <si>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</si>
  <si>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</si>
  <si>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</si>
  <si>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</si>
  <si>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</si>
  <si>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</si>
  <si>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</si>
  <si>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</si>
  <si>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</si>
  <si>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</si>
  <si>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</si>
  <si>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</si>
  <si>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</si>
  <si>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</si>
  <si>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</si>
  <si>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</si>
  <si>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</si>
  <si>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</si>
  <si>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</si>
  <si>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</si>
  <si>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</si>
  <si>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</si>
  <si>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</si>
  <si>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</si>
  <si>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</si>
  <si>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</si>
  <si>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</si>
  <si>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</si>
  <si>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</si>
  <si>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</si>
  <si>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</si>
  <si>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</si>
  <si>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</si>
  <si>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</si>
  <si>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</si>
  <si>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</si>
  <si>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</si>
  <si>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</si>
  <si>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</si>
  <si>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</si>
  <si>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</si>
  <si>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</si>
  <si>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</si>
  <si>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</si>
  <si>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</si>
  <si>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</si>
  <si>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</si>
  <si>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</si>
  <si>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</si>
  <si>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</si>
  <si>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</si>
  <si>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</si>
  <si>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</si>
  <si>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</si>
  <si>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</si>
  <si>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</si>
  <si>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</si>
  <si>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</si>
  <si>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</si>
  <si>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</si>
  <si>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</si>
  <si>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</si>
  <si>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</si>
  <si>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</si>
  <si>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</si>
  <si>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</si>
  <si>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</si>
  <si>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</si>
  <si>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</si>
  <si>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</si>
  <si>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</si>
  <si>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</si>
  <si>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</si>
  <si>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</si>
  <si>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</si>
  <si>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</si>
  <si>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</si>
  <si>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</si>
  <si>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</si>
  <si>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</si>
  <si>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</si>
  <si>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</si>
  <si>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</si>
  <si>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</si>
  <si>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</si>
  <si>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</si>
  <si>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</si>
  <si>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</si>
  <si>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</si>
  <si>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</si>
  <si>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</si>
  <si>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</si>
  <si>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</si>
  <si>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</si>
  <si>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</si>
  <si>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</si>
  <si>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</si>
  <si>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</si>
  <si>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</si>
  <si>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</si>
  <si>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</si>
  <si>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</si>
  <si>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</si>
  <si>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</si>
  <si>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</si>
  <si>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</si>
  <si>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</si>
  <si>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</si>
  <si>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</si>
  <si>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</si>
  <si>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</si>
  <si>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</si>
  <si>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</si>
  <si>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</si>
  <si>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</si>
  <si>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</si>
  <si>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</si>
  <si>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</si>
  <si>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</si>
  <si>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</si>
  <si>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</si>
  <si>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</si>
  <si>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</si>
  <si>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</si>
  <si>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</si>
  <si>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</si>
  <si>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</si>
  <si>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</si>
  <si>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</si>
  <si>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</si>
  <si>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</si>
  <si>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</si>
  <si>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</si>
  <si>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</si>
  <si>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</si>
  <si>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</si>
  <si>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</si>
  <si>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</si>
  <si>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</si>
  <si>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</si>
  <si>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</si>
  <si>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</si>
  <si>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</si>
  <si>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</si>
  <si>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</si>
  <si>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</si>
  <si>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</si>
  <si>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</si>
  <si>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</si>
  <si>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</si>
  <si>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</si>
  <si>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</si>
  <si>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</si>
  <si>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</si>
  <si>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</si>
  <si>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</si>
  <si>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</si>
  <si>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</si>
  <si>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</si>
  <si>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</si>
  <si>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</si>
  <si>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</si>
  <si>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</si>
  <si>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</si>
  <si>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</si>
  <si>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</si>
  <si>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</si>
  <si>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</si>
  <si>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</si>
  <si>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</si>
  <si>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</si>
  <si>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</si>
  <si>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</si>
  <si>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</si>
  <si>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</si>
  <si>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</si>
  <si>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</si>
  <si>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</si>
  <si>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</si>
  <si>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</si>
  <si>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</si>
  <si>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</si>
  <si>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</si>
  <si>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</si>
  <si>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</si>
  <si>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</si>
  <si>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</si>
  <si>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</si>
  <si>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</si>
  <si>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</si>
  <si>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</si>
  <si>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</si>
  <si>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</si>
  <si>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</si>
  <si>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</si>
  <si>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</si>
  <si>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</si>
  <si>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</si>
  <si>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</si>
  <si>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</si>
  <si>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</si>
  <si>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</si>
  <si>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同上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</si>
  <si>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</si>
  <si>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</si>
  <si>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</si>
  <si>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</si>
  <si>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</si>
  <si>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</si>
  <si>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</si>
  <si>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</si>
  <si>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</si>
  <si>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</si>
  <si>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</si>
  <si>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</si>
  <si>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</si>
  <si>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</si>
  <si>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</si>
  <si>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</si>
  <si>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</si>
  <si>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</si>
  <si>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</si>
  <si>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</si>
  <si>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</si>
  <si>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</si>
  <si>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</si>
  <si>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</si>
  <si>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</si>
  <si>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</si>
  <si>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</si>
  <si>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</si>
  <si>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</si>
  <si>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</si>
  <si>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</si>
  <si>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</si>
  <si>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</si>
  <si>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</si>
  <si>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</si>
  <si>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</si>
  <si>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</si>
  <si>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</si>
  <si>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</si>
  <si>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</si>
  <si>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</si>
  <si>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</si>
  <si>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</si>
  <si>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</si>
  <si>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</si>
  <si>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</si>
  <si>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</si>
  <si>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</si>
  <si>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</si>
  <si>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</si>
  <si>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</si>
  <si>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</si>
  <si>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</si>
  <si>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</si>
  <si>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</si>
  <si>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</si>
  <si>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</si>
  <si>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</si>
  <si>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</si>
  <si>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</si>
  <si>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</si>
  <si>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</si>
  <si>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</si>
  <si>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</si>
  <si>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</si>
  <si>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</si>
  <si>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</si>
  <si>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</si>
  <si>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</si>
  <si>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</si>
  <si>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</si>
  <si>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</si>
  <si>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</si>
  <si>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</si>
  <si>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</si>
  <si>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</si>
  <si>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</si>
  <si>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</si>
  <si>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</si>
  <si>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</si>
  <si>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</si>
  <si>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</si>
  <si>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</si>
  <si>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</si>
  <si>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</si>
  <si>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</si>
  <si>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</si>
  <si>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</si>
  <si>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</si>
  <si>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</si>
  <si>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</si>
  <si>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</si>
  <si>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</si>
  <si>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</si>
  <si>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</si>
  <si>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</si>
  <si>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</si>
  <si>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</si>
  <si>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</si>
  <si>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</si>
  <si>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</si>
  <si>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</si>
  <si>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</si>
  <si>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</si>
  <si>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</si>
  <si>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</si>
  <si>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</si>
  <si>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</si>
  <si>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</si>
  <si>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</si>
  <si>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</si>
  <si>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</si>
  <si>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</si>
  <si>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</si>
  <si>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</si>
  <si>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</si>
  <si>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</si>
  <si>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</si>
  <si>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</si>
  <si>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</si>
  <si>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</si>
  <si>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</si>
  <si>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</si>
  <si>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</si>
  <si>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</si>
  <si>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</si>
  <si>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</si>
  <si>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</si>
  <si>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</si>
  <si>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</si>
  <si>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</si>
  <si>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</si>
  <si>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</si>
  <si>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</si>
  <si>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</si>
  <si>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</si>
  <si>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</si>
  <si>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</si>
  <si>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</si>
  <si>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</si>
  <si>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</si>
  <si>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</si>
  <si>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</si>
  <si>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</si>
  <si>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</si>
  <si>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</si>
  <si>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</si>
  <si>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</si>
  <si>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</si>
  <si>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</si>
  <si>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</si>
  <si>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</si>
  <si>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</si>
  <si>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</si>
  <si>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</si>
  <si>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</si>
  <si>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</si>
  <si>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</si>
  <si>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</si>
  <si>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</si>
  <si>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</si>
  <si>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</si>
  <si>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</si>
  <si>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</si>
  <si>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</si>
  <si>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</si>
  <si>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</si>
  <si>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</si>
  <si>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</si>
  <si>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</si>
  <si>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</si>
  <si>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</si>
  <si>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</si>
  <si>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</si>
  <si>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</si>
  <si>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</si>
  <si>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</si>
  <si>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</si>
  <si>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</si>
  <si>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</si>
  <si>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</si>
  <si>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</si>
  <si>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</si>
  <si>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</si>
  <si>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</si>
  <si>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</si>
  <si>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</si>
  <si>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</si>
  <si>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</si>
  <si>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</si>
  <si>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</si>
  <si>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</si>
  <si>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</si>
  <si>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</si>
  <si>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</si>
  <si>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</si>
  <si>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</si>
  <si>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</si>
  <si>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</si>
  <si>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</si>
  <si>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</si>
  <si>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</si>
  <si>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</si>
  <si>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</si>
  <si>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</si>
  <si>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</si>
  <si>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</si>
  <si>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</si>
  <si>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</si>
  <si>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</si>
  <si>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</si>
  <si>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</si>
  <si>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</si>
  <si>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</si>
  <si>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</si>
  <si>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</si>
  <si>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</si>
  <si>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</si>
  <si>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</si>
  <si>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</si>
  <si>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</si>
  <si>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</si>
  <si>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</si>
  <si>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</si>
  <si>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</si>
  <si>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</si>
  <si>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</si>
  <si>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</si>
  <si>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</si>
  <si>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</si>
  <si>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</si>
  <si>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</si>
  <si>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</si>
  <si>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</si>
  <si>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</si>
  <si>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</si>
  <si>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</si>
  <si>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</si>
  <si>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</si>
  <si>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</si>
  <si>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</si>
  <si>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</si>
  <si>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</si>
  <si>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</si>
  <si>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</si>
  <si>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</si>
  <si>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</si>
  <si>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</si>
  <si>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</si>
  <si>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</si>
  <si>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</si>
  <si>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</si>
  <si>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</si>
  <si>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</si>
  <si>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</si>
  <si>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</si>
  <si>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</si>
  <si>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</si>
  <si>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</si>
  <si>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</si>
  <si>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</si>
  <si>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</si>
  <si>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</si>
  <si>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</si>
  <si>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</si>
  <si>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</si>
  <si>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</si>
  <si>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</si>
  <si>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</si>
  <si>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</si>
  <si>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</si>
  <si>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</si>
  <si>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</si>
  <si>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</si>
  <si>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</si>
  <si>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</si>
  <si>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</si>
  <si>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</si>
  <si>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</si>
  <si>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</si>
  <si>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</si>
  <si>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</si>
  <si>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</si>
  <si>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</si>
  <si>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</si>
  <si>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</si>
  <si>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</si>
  <si>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</si>
  <si>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</si>
  <si>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</si>
  <si>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</si>
  <si>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</si>
  <si>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</si>
  <si>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</si>
  <si>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</si>
  <si>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</si>
  <si>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</si>
  <si>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</si>
  <si>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</si>
  <si>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</si>
  <si>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</si>
  <si>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</si>
  <si>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</si>
  <si>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</si>
  <si>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</si>
  <si>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</si>
  <si>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</si>
  <si>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</si>
  <si>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</si>
  <si>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</si>
  <si>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</si>
  <si>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</si>
  <si>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</si>
  <si>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</si>
  <si>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</si>
  <si>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</si>
  <si>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</si>
  <si>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</si>
  <si>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</si>
  <si>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</si>
  <si>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</si>
  <si>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</si>
  <si>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</si>
  <si>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</si>
  <si>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</si>
  <si>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</si>
  <si>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</si>
  <si>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</si>
  <si>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</si>
  <si>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</si>
  <si>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</si>
  <si>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</si>
  <si>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</si>
  <si>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</si>
  <si>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</si>
  <si>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</si>
  <si>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</si>
  <si>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</si>
  <si>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</si>
  <si>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</si>
  <si>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</si>
  <si>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</si>
  <si>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</si>
  <si>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</si>
  <si>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</si>
  <si>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</si>
  <si>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</si>
  <si>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</si>
  <si>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</si>
  <si>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</si>
  <si>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</si>
  <si>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</si>
  <si>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</si>
  <si>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</si>
  <si>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</si>
  <si>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</si>
  <si>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</si>
  <si>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</si>
  <si>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</si>
  <si>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</si>
  <si>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</si>
  <si>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</si>
  <si>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</si>
  <si>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</si>
  <si>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</si>
  <si>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</si>
  <si>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</si>
  <si>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</si>
  <si>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</si>
  <si>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</si>
  <si>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</si>
  <si>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</si>
  <si>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</si>
  <si>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</si>
  <si>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</si>
  <si>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</si>
  <si>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</si>
  <si>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</si>
  <si>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</si>
  <si>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</si>
  <si>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</si>
  <si>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</si>
  <si>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</si>
  <si>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</si>
  <si>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</si>
  <si>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</si>
  <si>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</si>
  <si>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</si>
  <si>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</si>
  <si>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</si>
  <si>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</si>
  <si>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</si>
  <si>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</si>
  <si>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</si>
  <si>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</si>
  <si>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</si>
  <si>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</si>
  <si>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</si>
  <si>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</si>
  <si>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</si>
  <si>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</si>
  <si>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</si>
  <si>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</si>
  <si>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</si>
  <si>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</si>
  <si>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</si>
  <si>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</si>
  <si>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</si>
  <si>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</si>
  <si>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</si>
  <si>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</si>
  <si>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</si>
  <si>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</si>
  <si>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</si>
  <si>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</si>
  <si>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</si>
  <si>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</si>
  <si>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</si>
  <si>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</si>
  <si>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</si>
  <si>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</si>
  <si>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</si>
  <si>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</si>
  <si>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</si>
  <si>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</si>
  <si>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</si>
  <si>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</si>
  <si>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</si>
  <si>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</si>
  <si>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</si>
  <si>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</si>
  <si>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</si>
  <si>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</si>
  <si>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</si>
  <si>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</si>
  <si>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</si>
  <si>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</si>
  <si>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</si>
  <si>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</si>
  <si>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</si>
  <si>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</si>
  <si>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</si>
  <si>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</si>
  <si>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</si>
  <si>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</si>
  <si>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</si>
  <si>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</si>
  <si>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</si>
  <si>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</si>
  <si>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</si>
  <si>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</si>
  <si>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</si>
  <si>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</si>
  <si>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</si>
  <si>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</si>
  <si>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</si>
  <si>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</si>
  <si>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</si>
  <si>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</si>
  <si>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</si>
  <si>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</si>
  <si>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</si>
  <si>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</si>
  <si>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</si>
  <si>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</si>
  <si>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</si>
  <si>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</si>
  <si>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</si>
  <si>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</si>
  <si>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</si>
  <si>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</si>
  <si>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</si>
  <si>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</si>
  <si>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</si>
  <si>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</si>
  <si>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</si>
  <si>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</si>
  <si>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</si>
  <si>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</si>
  <si>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</si>
  <si>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</si>
  <si>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</si>
  <si>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</si>
  <si>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</si>
  <si>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</si>
  <si>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</si>
  <si>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</si>
  <si>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</si>
  <si>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</si>
  <si>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</si>
  <si>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</si>
  <si>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</si>
  <si>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</si>
  <si>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</si>
  <si>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</si>
  <si>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</si>
  <si>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</si>
  <si>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</si>
  <si>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</si>
  <si>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</si>
  <si>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</si>
  <si>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</si>
  <si>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</si>
  <si>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</si>
  <si>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</si>
  <si>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</si>
  <si>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</si>
  <si>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</si>
  <si>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</si>
  <si>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</si>
  <si>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</si>
  <si>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</si>
  <si>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</si>
  <si>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</si>
  <si>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</si>
  <si>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</si>
  <si>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</si>
  <si>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</si>
  <si>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</si>
  <si>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</si>
  <si>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</si>
  <si>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</si>
  <si>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</si>
  <si>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</si>
  <si>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</si>
  <si>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</si>
  <si>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</si>
  <si>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</si>
  <si>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</si>
  <si>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</si>
  <si>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</si>
  <si>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</si>
  <si>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</si>
  <si>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</si>
  <si>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</si>
  <si>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</si>
  <si>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</si>
  <si>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</si>
  <si>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</si>
  <si>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</si>
  <si>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</si>
  <si>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</si>
  <si>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</si>
  <si>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</si>
  <si>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</si>
  <si>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</si>
  <si>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</si>
  <si>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</si>
  <si>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</si>
  <si>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</si>
  <si>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</si>
  <si>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</si>
  <si>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</si>
  <si>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</si>
  <si>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</si>
  <si>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</si>
  <si>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</si>
  <si>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</si>
  <si>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</si>
  <si>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</si>
  <si>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</si>
  <si>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</si>
  <si>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</si>
  <si>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</si>
  <si>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</si>
  <si>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</si>
  <si>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</si>
  <si>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</si>
  <si>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</si>
  <si>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</si>
  <si>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</si>
  <si>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</si>
  <si>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</si>
  <si>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</si>
  <si>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</si>
  <si>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</si>
  <si>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</si>
  <si>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</si>
  <si>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</si>
  <si>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</si>
  <si>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</si>
  <si>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</si>
  <si>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</si>
  <si>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</si>
  <si>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</si>
  <si>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</si>
  <si>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</si>
  <si>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</si>
  <si>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</si>
  <si>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</si>
  <si>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</si>
  <si>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</si>
  <si>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</si>
  <si>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</si>
  <si>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</si>
  <si>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</si>
  <si>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</si>
  <si>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</si>
  <si>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</si>
  <si>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</si>
  <si>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</si>
  <si>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</si>
  <si>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</si>
  <si>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</si>
  <si>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</si>
  <si>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</si>
  <si>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</si>
  <si>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</si>
  <si>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</si>
  <si>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</si>
  <si>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</si>
  <si>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</si>
  <si>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</si>
  <si>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</si>
  <si>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</si>
  <si>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</si>
  <si>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</si>
  <si>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</si>
  <si>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</si>
  <si>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</si>
  <si>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</si>
  <si>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</si>
  <si>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</si>
  <si>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</si>
  <si>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</si>
  <si>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</si>
  <si>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</si>
  <si>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</si>
  <si>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</si>
  <si>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</si>
  <si>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</si>
  <si>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</si>
  <si>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</si>
  <si>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</si>
  <si>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</si>
  <si>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</si>
  <si>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</si>
  <si>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</si>
  <si>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</si>
  <si>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</si>
  <si>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</si>
  <si>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</si>
  <si>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</si>
  <si>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</si>
  <si>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</si>
  <si>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</si>
  <si>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</si>
  <si>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</si>
  <si>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</si>
  <si>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</si>
  <si>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</si>
  <si>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</si>
  <si>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</si>
  <si>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</si>
  <si>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</si>
  <si>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</si>
  <si>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</si>
  <si>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</si>
  <si>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</si>
  <si>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</si>
  <si>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</si>
  <si>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</si>
  <si>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</si>
  <si>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</si>
  <si>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</si>
  <si>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</si>
  <si>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</si>
  <si>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</si>
  <si>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</si>
  <si>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</si>
  <si>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</si>
  <si>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</si>
  <si>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</si>
  <si>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</si>
  <si>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</si>
  <si>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</si>
  <si>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</si>
  <si>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</si>
  <si>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</si>
  <si>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</si>
  <si>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</si>
  <si>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</si>
  <si>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</si>
  <si>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</si>
  <si>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</si>
  <si>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</si>
  <si>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</si>
  <si>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</si>
  <si>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</si>
  <si>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</si>
  <si>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</si>
  <si>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</si>
  <si>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</si>
  <si>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</si>
  <si>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</si>
  <si>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</si>
  <si>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</si>
  <si>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</si>
  <si>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</si>
  <si>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</si>
  <si>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</si>
  <si>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</si>
  <si>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</si>
  <si>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</si>
  <si>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</si>
  <si>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</si>
  <si>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</si>
  <si>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</si>
  <si>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</si>
  <si>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</si>
  <si>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</si>
  <si>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</si>
  <si>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</si>
  <si>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</si>
  <si>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</si>
  <si>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</si>
  <si>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</si>
  <si>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</si>
  <si>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</si>
  <si>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</si>
  <si>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</si>
  <si>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</si>
  <si>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</si>
  <si>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</si>
  <si>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</si>
  <si>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</si>
  <si>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</si>
  <si>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</si>
  <si>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</si>
  <si>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</si>
  <si>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</si>
  <si>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</si>
  <si>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</si>
  <si>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</si>
  <si>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</si>
  <si>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</si>
  <si>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</si>
  <si>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</si>
  <si>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</si>
  <si>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</si>
  <si>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</si>
  <si>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</si>
  <si>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</si>
  <si>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</si>
  <si>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</si>
  <si>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</si>
  <si>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</si>
  <si>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</si>
  <si>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</si>
  <si>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</si>
  <si>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</si>
  <si>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</si>
  <si>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</si>
  <si>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</si>
  <si>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</si>
  <si>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</si>
  <si>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</si>
  <si>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</si>
  <si>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</si>
  <si>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</si>
  <si>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</si>
  <si>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</si>
  <si>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</si>
  <si>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</si>
  <si>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</si>
  <si>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</si>
  <si>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</si>
  <si>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</si>
  <si>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</si>
  <si>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</si>
  <si>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</si>
  <si>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</si>
  <si>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</si>
  <si>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</si>
  <si>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</si>
  <si>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</si>
  <si>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</si>
  <si>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</si>
  <si>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</si>
  <si>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</si>
  <si>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</si>
  <si>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</si>
  <si>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</si>
  <si>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</si>
  <si>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</si>
  <si>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</si>
  <si>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</si>
  <si>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</si>
  <si>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</si>
  <si>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</si>
  <si>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</si>
  <si>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</si>
  <si>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</si>
  <si>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</si>
  <si>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</si>
  <si>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</si>
  <si>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</si>
  <si>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</si>
  <si>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</si>
  <si>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</si>
  <si>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</si>
  <si>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</si>
  <si>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</si>
  <si>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</si>
  <si>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</si>
  <si>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</si>
  <si>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</si>
  <si>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</si>
  <si>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</si>
  <si>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</si>
  <si>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</si>
  <si>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</si>
  <si>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</si>
  <si>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</si>
  <si>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</si>
  <si>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</si>
  <si>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</si>
  <si>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</si>
  <si>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</si>
  <si>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</si>
  <si>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</si>
  <si>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</si>
  <si>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</si>
  <si>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</si>
  <si>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</si>
  <si>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</si>
  <si>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</si>
  <si>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</si>
  <si>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</si>
  <si>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</si>
  <si>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</si>
  <si>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</si>
  <si>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</si>
  <si>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</si>
  <si>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</si>
  <si>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</si>
  <si>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</si>
  <si>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</si>
  <si>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</si>
  <si>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</si>
  <si>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</si>
  <si>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</si>
  <si>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</si>
  <si>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</si>
  <si>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</si>
  <si>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</si>
  <si>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</si>
  <si>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</si>
  <si>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</si>
  <si>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</si>
  <si>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</si>
  <si>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</si>
  <si>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</si>
  <si>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</si>
  <si>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</si>
  <si>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</si>
  <si>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</si>
  <si>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</si>
  <si>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</si>
  <si>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</si>
  <si>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</si>
  <si>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</si>
  <si>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</si>
  <si>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</si>
  <si>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</si>
  <si>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</si>
  <si>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</si>
  <si>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</si>
  <si>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</si>
  <si>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</si>
  <si>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</si>
  <si>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</si>
  <si>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</si>
  <si>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</si>
  <si>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</si>
  <si>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</si>
  <si>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</si>
  <si>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</si>
  <si>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</si>
  <si>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</si>
  <si>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</si>
  <si>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</si>
  <si>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</si>
  <si>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</si>
  <si>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</si>
  <si>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</si>
  <si>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</si>
  <si>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</si>
  <si>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</si>
  <si>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</si>
  <si>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</si>
  <si>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</si>
  <si>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</si>
  <si>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</si>
  <si>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</si>
  <si>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</si>
  <si>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</si>
  <si>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</si>
  <si>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</si>
  <si>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</si>
  <si>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</si>
  <si>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</si>
  <si>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</si>
  <si>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</si>
  <si>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</si>
  <si>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</si>
  <si>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</si>
  <si>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</si>
  <si>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</si>
  <si>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</si>
  <si>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</si>
  <si>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</si>
  <si>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</si>
  <si>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</si>
  <si>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</si>
  <si>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</si>
  <si>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</si>
  <si>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</si>
  <si>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</si>
  <si>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</si>
  <si>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</si>
  <si>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</si>
  <si>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</si>
  <si>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</si>
  <si>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</si>
  <si>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</si>
  <si>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</si>
  <si>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</si>
  <si>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</si>
  <si>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</si>
  <si>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</si>
  <si>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</si>
  <si>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</si>
  <si>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</si>
  <si>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</si>
  <si>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</si>
  <si>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</si>
  <si>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</si>
  <si>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</si>
  <si>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</si>
  <si>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</si>
  <si>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</si>
  <si>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</si>
  <si>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</si>
  <si>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</si>
  <si>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</si>
  <si>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</si>
  <si>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</si>
  <si>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</si>
  <si>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</si>
  <si>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</si>
  <si>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</si>
  <si>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</si>
  <si>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</si>
  <si>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</si>
  <si>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</si>
  <si>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</si>
  <si>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</si>
  <si>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</si>
  <si>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</si>
  <si>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</si>
  <si>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</si>
  <si>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</si>
  <si>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</si>
  <si>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</si>
  <si>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</si>
  <si>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</si>
  <si>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</si>
  <si>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</si>
  <si>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</si>
  <si>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</si>
  <si>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</si>
  <si>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</si>
  <si>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</si>
  <si>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</si>
  <si>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</si>
  <si>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</si>
  <si>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</si>
  <si>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</si>
  <si>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</si>
  <si>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</si>
  <si>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</si>
  <si>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</si>
  <si>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</si>
  <si>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</si>
  <si>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</si>
  <si>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列一致，不再乘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</si>
  <si>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</si>
  <si>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</si>
  <si>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 0.35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1.4571</t>
    </r>
    <r>
      <rPr>
        <sz val="10"/>
        <color rgb="FF000000"/>
        <rFont val="Noto Sans CJK SC"/>
        <family val="2"/>
      </rPr>
      <t xml:space="preserve">（誤乘 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，與機隊路線的 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 不一致）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</si>
  <si>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</si>
  <si>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</si>
  <si>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</si>
  <si>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</si>
  <si>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</si>
  <si>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</si>
  <si>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</si>
  <si>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</si>
  <si>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</si>
  <si>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</si>
  <si>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</si>
  <si>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</si>
  <si>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</si>
  <si>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</si>
  <si>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</si>
  <si>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</si>
  <si>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</si>
  <si>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</si>
  <si>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</si>
  <si>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</si>
  <si>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</si>
  <si>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</si>
  <si>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</si>
  <si>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</si>
  <si>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</si>
  <si>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</si>
  <si>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</si>
  <si>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</si>
  <si>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</si>
  <si>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</si>
  <si>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</si>
  <si>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</si>
  <si>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</si>
  <si>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</si>
  <si>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</si>
  <si>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</si>
  <si>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</si>
  <si>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</si>
  <si>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</si>
  <si>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</si>
  <si>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</si>
  <si>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</si>
  <si>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</si>
  <si>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</si>
  <si>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</si>
  <si>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</si>
  <si>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</si>
  <si>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</si>
  <si>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</si>
  <si>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</si>
  <si>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</si>
  <si>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</si>
  <si>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</si>
  <si>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</si>
  <si>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</si>
  <si>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</si>
  <si>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</si>
  <si>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</si>
  <si>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</si>
  <si>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</si>
  <si>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</si>
  <si>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</si>
  <si>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</si>
  <si>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</si>
  <si>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</si>
  <si>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</si>
  <si>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</si>
  <si>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</si>
  <si>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</si>
  <si>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</si>
  <si>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</si>
  <si>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</si>
  <si>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</si>
  <si>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</si>
  <si>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</si>
  <si>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</si>
  <si>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</si>
  <si>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</si>
  <si>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</si>
  <si>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</si>
  <si>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</si>
  <si>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</si>
  <si>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</si>
  <si>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</si>
  <si>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</si>
  <si>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</si>
  <si>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</si>
  <si>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</si>
  <si>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</si>
  <si>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</si>
  <si>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</si>
  <si>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</si>
  <si>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</si>
  <si>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</si>
  <si>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</si>
  <si>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</si>
  <si>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</si>
  <si>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</si>
  <si>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</si>
  <si>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</si>
  <si>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</si>
  <si>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</si>
  <si>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</si>
  <si>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</si>
  <si>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</si>
  <si>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</si>
  <si>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</si>
  <si>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</si>
  <si>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</si>
  <si>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</si>
  <si>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</si>
  <si>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</si>
  <si>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</si>
  <si>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</si>
  <si>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</si>
  <si>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</si>
  <si>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</si>
  <si>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</si>
  <si>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</si>
  <si>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</si>
  <si>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</si>
  <si>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</si>
  <si>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</si>
  <si>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</si>
  <si>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</si>
  <si>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</si>
  <si>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</si>
  <si>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</si>
  <si>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</si>
  <si>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</si>
  <si>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</si>
  <si>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</si>
  <si>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</si>
  <si>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</si>
  <si>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</si>
  <si>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</si>
  <si>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</si>
  <si>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</si>
  <si>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</si>
  <si>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</si>
  <si>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</si>
  <si>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</si>
  <si>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</si>
  <si>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</si>
  <si>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「必須為真」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</si>
  <si>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低）、高＝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L1_MFleet_Lo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</si>
  <si>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至少要多少才達機隊回本。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0.64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）→ 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 −25%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0.34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0.36 → </t>
    </r>
    <r>
      <rPr>
        <sz val="10"/>
        <color rgb="FF000000"/>
        <rFont val="Noto Sans CJK SC"/>
        <family val="2"/>
      </rPr>
      <t xml:space="preserve">低端情境不回本。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另見 </t>
    </r>
    <r>
      <rPr>
        <sz val="10"/>
        <color rgb="FF000000"/>
        <rFont val="Arial"/>
        <family val="0"/>
        <charset val="1"/>
      </rPr>
      <t xml:space="preserve">Cap_In I-7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口徑（所需 </t>
    </r>
    <r>
      <rPr>
        <sz val="10"/>
        <color rgb="FF000000"/>
        <rFont val="Arial"/>
        <family val="0"/>
        <charset val="1"/>
      </rPr>
      <t xml:space="preserve">L 0.52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</si>
  <si>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</si>
  <si>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</si>
  <si>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</si>
  <si>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</si>
  <si>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</si>
  <si>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</si>
  <si>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</si>
  <si>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</si>
  <si>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</si>
  <si>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</si>
  <si>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</si>
  <si>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</si>
  <si>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</si>
  <si>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</si>
  <si>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</si>
  <si>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</si>
  <si>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</si>
  <si>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</si>
  <si>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</si>
  <si>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</si>
  <si>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</si>
  <si>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</si>
  <si>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</si>
  <si>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</si>
  <si>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</si>
  <si>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</si>
  <si>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</si>
  <si>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</si>
  <si>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</si>
  <si>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</si>
  <si>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</si>
  <si>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</si>
  <si>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</si>
  <si>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</si>
  <si>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</si>
  <si>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</si>
  <si>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</si>
  <si>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</si>
  <si>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</si>
  <si>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</si>
  <si>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</si>
  <si>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</si>
  <si>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</si>
  <si>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</si>
  <si>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</si>
  <si>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</si>
  <si>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</si>
  <si>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</si>
  <si>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</si>
  <si>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</si>
  <si>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</si>
  <si>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</si>
  <si>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</si>
  <si>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</si>
  <si>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</si>
  <si>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</si>
  <si>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</si>
  <si>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</si>
  <si>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</si>
  <si>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</si>
  <si>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</si>
  <si>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</si>
  <si>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</si>
  <si>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</si>
  <si>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</si>
  <si>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</si>
  <si>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</si>
  <si>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</si>
  <si>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</si>
  <si>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</si>
  <si>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</si>
  <si>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</si>
  <si>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</si>
  <si>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</si>
  <si>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</si>
  <si>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</si>
  <si>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</si>
  <si>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</si>
  <si>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</si>
  <si>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</si>
  <si>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</si>
  <si>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</si>
  <si>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</si>
  <si>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</si>
  <si>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</si>
  <si>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</si>
  <si>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</si>
  <si>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</si>
  <si>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</si>
  <si>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</si>
  <si>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</si>
  <si>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</si>
  <si>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</si>
  <si>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</si>
  <si>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</si>
  <si>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</si>
  <si>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</si>
  <si>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</si>
  <si>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</si>
  <si>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</si>
  <si>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</si>
  <si>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</si>
  <si>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</si>
  <si>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</si>
  <si>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</si>
  <si>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</si>
  <si>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</si>
  <si>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</si>
  <si>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</si>
  <si>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</si>
  <si>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</si>
  <si>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</si>
  <si>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</si>
  <si>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</si>
  <si>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</si>
  <si>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</si>
  <si>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</si>
  <si>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</si>
  <si>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</si>
  <si>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</si>
  <si>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</si>
  <si>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</si>
  <si>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</si>
  <si>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</si>
  <si>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</si>
  <si>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</si>
  <si>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</si>
  <si>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</si>
  <si>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</si>
  <si>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</si>
  <si>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</si>
  <si>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</si>
  <si>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</si>
  <si>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</si>
  <si>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</si>
  <si>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</si>
  <si>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</si>
  <si>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</si>
  <si>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</si>
  <si>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</si>
  <si>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</si>
  <si>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</si>
  <si>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</si>
  <si>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</si>
  <si>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</si>
  <si>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</si>
  <si>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</si>
  <si>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</si>
  <si>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</si>
  <si>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</si>
  <si>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</si>
  <si>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</si>
  <si>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</si>
  <si>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</si>
  <si>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</si>
  <si>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</si>
  <si>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</si>
  <si>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</si>
  <si>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</si>
  <si>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</si>
  <si>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</si>
  <si>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</si>
  <si>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</si>
  <si>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</si>
  <si>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</si>
  <si>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</si>
  <si>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</si>
  <si>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</si>
  <si>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</si>
  <si>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</si>
  <si>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</si>
  <si>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</si>
  <si>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</si>
  <si>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</si>
  <si>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</si>
  <si>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</si>
  <si>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</si>
  <si>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</si>
  <si>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</si>
  <si>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</si>
  <si>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</si>
  <si>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</si>
  <si>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</si>
  <si>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</si>
  <si>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</si>
  <si>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</si>
  <si>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</si>
  <si>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</si>
  <si>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</si>
  <si>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</si>
  <si>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</si>
  <si>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</si>
  <si>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</si>
  <si>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</si>
  <si>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</si>
  <si>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</si>
  <si>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</si>
  <si>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</si>
  <si>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</si>
  <si>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</si>
  <si>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</si>
  <si>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</si>
  <si>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</si>
  <si>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</si>
  <si>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</si>
  <si>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</si>
  <si>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</si>
  <si>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</si>
  <si>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</si>
  <si>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</si>
  <si>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</si>
  <si>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</si>
  <si>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</si>
  <si>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</si>
  <si>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</si>
  <si>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</si>
  <si>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</si>
  <si>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</si>
  <si>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</si>
  <si>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</si>
  <si>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</si>
  <si>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</si>
  <si>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</si>
  <si>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</si>
  <si>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</si>
  <si>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</si>
  <si>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</si>
  <si>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</si>
  <si>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</si>
  <si>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</si>
  <si>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</si>
  <si>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</si>
  <si>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</si>
  <si>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</si>
  <si>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</si>
  <si>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</si>
  <si>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</si>
  <si>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</si>
  <si>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</si>
  <si>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</si>
  <si>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</si>
  <si>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</si>
  <si>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</si>
  <si>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</si>
  <si>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</si>
  <si>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</si>
  <si>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</si>
  <si>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</si>
  <si>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</si>
  <si>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</si>
  <si>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</si>
  <si>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</si>
  <si>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</si>
  <si>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</si>
  <si>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</si>
  <si>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</si>
  <si>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</si>
  <si>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</si>
  <si>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</si>
  <si>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</si>
  <si>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</si>
  <si>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</si>
  <si>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</si>
  <si>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</si>
  <si>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</si>
  <si>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</si>
  <si>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</si>
  <si>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</si>
  <si>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</si>
  <si>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</si>
  <si>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</si>
  <si>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</si>
  <si>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</si>
  <si>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</si>
  <si>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</si>
  <si>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</si>
  <si>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</si>
  <si>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</si>
  <si>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</si>
  <si>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</si>
  <si>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</si>
  <si>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</si>
  <si>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</si>
  <si>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</si>
  <si>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</si>
  <si>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</si>
  <si>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</si>
  <si>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</si>
  <si>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</si>
  <si>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</si>
  <si>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</si>
  <si>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</si>
  <si>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</si>
  <si>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</si>
  <si>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</si>
  <si>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</si>
  <si>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</si>
  <si>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</si>
  <si>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</si>
  <si>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</si>
  <si>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</si>
  <si>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</si>
  <si>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</si>
  <si>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</si>
  <si>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</si>
  <si>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</si>
  <si>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</si>
  <si>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</si>
  <si>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</si>
  <si>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</si>
  <si>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</si>
  <si>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</si>
  <si>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</si>
  <si>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</si>
  <si>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</si>
  <si>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</si>
  <si>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</si>
  <si>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</si>
  <si>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</si>
  <si>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</si>
  <si>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</si>
  <si>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</si>
  <si>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</si>
  <si>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</si>
  <si>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</si>
  <si>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</si>
  <si>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</si>
  <si>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</si>
  <si>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</si>
  <si>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</si>
  <si>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</si>
  <si>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</si>
  <si>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</si>
  <si>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</si>
  <si>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</si>
  <si>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</si>
  <si>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</si>
  <si>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</si>
  <si>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</si>
  <si>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</si>
  <si>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</si>
  <si>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</si>
  <si>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</si>
  <si>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</si>
  <si>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</si>
  <si>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</si>
  <si>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</si>
  <si>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</si>
  <si>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</si>
  <si>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</si>
  <si>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</si>
  <si>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</si>
  <si>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</si>
  <si>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</si>
  <si>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</si>
  <si>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</si>
  <si>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</si>
  <si>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</si>
  <si>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</si>
  <si>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</si>
  <si>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</si>
  <si>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</si>
  <si>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</si>
  <si>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</si>
  <si>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</si>
  <si>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</si>
  <si>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</si>
  <si>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</si>
  <si>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</si>
  <si>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</si>
  <si>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</si>
  <si>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</si>
  <si>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</si>
  <si>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</si>
  <si>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</si>
  <si>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</si>
  <si>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</si>
  <si>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</si>
  <si>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</si>
  <si>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</si>
  <si>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</si>
  <si>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</si>
  <si>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</si>
  <si>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</si>
  <si>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</si>
  <si>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</si>
  <si>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</si>
  <si>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</si>
  <si>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</si>
  <si>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</si>
  <si>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</si>
  <si>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</si>
  <si>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</si>
  <si>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</si>
  <si>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</si>
  <si>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</si>
  <si>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</si>
  <si>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</si>
  <si>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</si>
  <si>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</si>
  <si>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</si>
  <si>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</si>
  <si>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</si>
  <si>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</si>
  <si>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</si>
  <si>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</si>
  <si>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</si>
  <si>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</si>
  <si>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</si>
  <si>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</si>
  <si>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</si>
  <si>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</si>
  <si>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</si>
  <si>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</si>
  <si>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</si>
  <si>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</si>
  <si>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</si>
  <si>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</si>
  <si>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</si>
  <si>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</si>
  <si>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</si>
  <si>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</si>
  <si>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</si>
  <si>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</si>
  <si>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</si>
  <si>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</si>
  <si>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</si>
  <si>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</si>
  <si>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</si>
  <si>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</si>
  <si>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</si>
  <si>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</si>
  <si>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</si>
  <si>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</si>
  <si>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</si>
  <si>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</si>
  <si>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</si>
  <si>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</si>
  <si>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</si>
  <si>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</si>
  <si>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</si>
  <si>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</si>
  <si>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</si>
  <si>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</si>
  <si>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</si>
  <si>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</si>
  <si>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</si>
  <si>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</si>
  <si>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</si>
  <si>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</si>
  <si>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</si>
  <si>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</si>
  <si>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</si>
  <si>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</si>
  <si>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</si>
  <si>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</si>
  <si>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</si>
  <si>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</si>
  <si>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</si>
  <si>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</si>
  <si>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</si>
  <si>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</si>
  <si>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</si>
  <si>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</si>
  <si>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</si>
  <si>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</si>
  <si>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</si>
  <si>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</si>
  <si>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</si>
  <si>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</si>
  <si>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</si>
  <si>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</si>
  <si>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</si>
  <si>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</si>
  <si>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</si>
  <si>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</si>
  <si>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</si>
  <si>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</si>
  <si>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</si>
  <si>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</si>
  <si>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</si>
  <si>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</si>
  <si>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</si>
  <si>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</si>
  <si>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</si>
  <si>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</si>
  <si>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</si>
  <si>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</si>
  <si>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</si>
  <si>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</si>
  <si>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</si>
  <si>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</si>
  <si>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</si>
  <si>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</si>
  <si>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</si>
  <si>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</si>
  <si>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</si>
  <si>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</si>
  <si>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</si>
  <si>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</si>
  <si>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</si>
  <si>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</si>
  <si>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</si>
  <si>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</si>
  <si>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</si>
  <si>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</si>
  <si>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</si>
  <si>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</si>
  <si>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</si>
  <si>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</si>
  <si>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</si>
  <si>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</si>
  <si>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</si>
  <si>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</si>
  <si>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</si>
  <si>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</si>
  <si>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</si>
  <si>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</si>
  <si>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</si>
  <si>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</si>
  <si>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</si>
  <si>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</si>
  <si>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</si>
  <si>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</si>
  <si>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</si>
  <si>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</si>
  <si>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</si>
  <si>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</si>
  <si>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</si>
  <si>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</si>
  <si>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</si>
  <si>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</si>
  <si>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</si>
  <si>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</si>
  <si>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</si>
  <si>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</si>
  <si>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</si>
  <si>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</si>
  <si>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</si>
  <si>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</si>
  <si>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</si>
  <si>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</si>
  <si>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</si>
  <si>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</si>
  <si>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</si>
  <si>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</si>
  <si>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</si>
  <si>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</si>
  <si>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</si>
  <si>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</si>
  <si>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</si>
  <si>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</si>
  <si>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</si>
  <si>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</si>
  <si>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</si>
  <si>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</si>
  <si>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</si>
  <si>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</si>
  <si>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</si>
  <si>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</si>
  <si>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</si>
  <si>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</si>
  <si>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</si>
  <si>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</si>
  <si>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</si>
  <si>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</si>
  <si>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</si>
  <si>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</si>
  <si>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</si>
  <si>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</si>
  <si>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</si>
  <si>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</si>
  <si>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</si>
  <si>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</si>
  <si>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</si>
  <si>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</si>
  <si>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</si>
  <si>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</si>
  <si>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</si>
  <si>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</si>
  <si>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</si>
  <si>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</si>
  <si>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</si>
  <si>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</si>
  <si>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</si>
  <si>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</si>
  <si>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</si>
  <si>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</si>
  <si>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</si>
  <si>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</si>
  <si>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</si>
  <si>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</si>
  <si>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</si>
  <si>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</si>
  <si>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</si>
  <si>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</si>
  <si>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</si>
  <si>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</si>
  <si>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</si>
  <si>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</si>
  <si>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</si>
  <si>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</si>
  <si>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</si>
  <si>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</si>
  <si>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</si>
  <si>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</si>
  <si>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</si>
  <si>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</si>
  <si>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</si>
  <si>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</si>
  <si>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</si>
  <si>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</si>
  <si>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</si>
  <si>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</si>
  <si>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</si>
  <si>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</si>
  <si>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</si>
  <si>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</si>
  <si>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</si>
  <si>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</si>
  <si>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</si>
  <si>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</si>
  <si>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</si>
  <si>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</si>
  <si>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</si>
  <si>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</si>
  <si>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</si>
  <si>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</si>
  <si>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</si>
  <si>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</si>
  <si>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</si>
  <si>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</si>
  <si>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</si>
  <si>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</si>
  <si>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</si>
  <si>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</si>
  <si>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</si>
  <si>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</si>
  <si>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</si>
  <si>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</si>
  <si>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</si>
  <si>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</si>
  <si>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</si>
  <si>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</si>
  <si>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</si>
  <si>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</si>
  <si>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</si>
  <si>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</si>
  <si>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</si>
  <si>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</si>
  <si>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</si>
  <si>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</si>
  <si>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</si>
  <si>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</si>
  <si>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</si>
  <si>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</si>
  <si>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</si>
  <si>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</si>
  <si>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</si>
  <si>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</si>
  <si>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</si>
  <si>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</si>
  <si>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</si>
  <si>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</si>
  <si>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</si>
  <si>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</si>
  <si>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</si>
  <si>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</si>
  <si>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</si>
  <si>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</si>
  <si>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</si>
  <si>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</si>
  <si>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</si>
  <si>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</si>
  <si>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</si>
  <si>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</si>
  <si>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</si>
  <si>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</si>
  <si>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</si>
  <si>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</si>
  <si>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</si>
  <si>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</si>
  <si>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</si>
  <si>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</si>
  <si>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</si>
  <si>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</si>
  <si>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</si>
  <si>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</si>
  <si>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</si>
  <si>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</si>
  <si>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</si>
  <si>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</si>
  <si>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</si>
  <si>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</si>
  <si>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</si>
  <si>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</si>
  <si>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</si>
  <si>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</si>
  <si>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</si>
  <si>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</si>
  <si>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</si>
  <si>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</si>
  <si>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</si>
  <si>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</si>
  <si>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</si>
  <si>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</si>
  <si>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</si>
  <si>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</si>
  <si>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</si>
  <si>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</si>
  <si>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</si>
  <si>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</si>
  <si>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</si>
  <si>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</si>
  <si>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</si>
  <si>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</si>
  <si>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</si>
  <si>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</si>
  <si>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</si>
  <si>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</si>
  <si>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</si>
  <si>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</si>
  <si>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</si>
  <si>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</si>
  <si>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</si>
  <si>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</si>
  <si>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</si>
  <si>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</si>
  <si>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</si>
  <si>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</si>
  <si>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</si>
  <si>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</si>
  <si>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</si>
  <si>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</si>
  <si>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</si>
  <si>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</si>
  <si>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</si>
  <si>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</si>
  <si>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</si>
  <si>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</si>
  <si>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</si>
  <si>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</si>
  <si>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</si>
  <si>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</si>
  <si>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</si>
  <si>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</si>
  <si>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</si>
  <si>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</si>
  <si>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</si>
  <si>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</si>
  <si>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</si>
  <si>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</si>
  <si>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</si>
  <si>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</si>
  <si>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</si>
  <si>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</si>
  <si>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</si>
  <si>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</si>
  <si>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</si>
  <si>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</si>
  <si>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</si>
  <si>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</si>
  <si>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</si>
  <si>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</si>
  <si>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</si>
  <si>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</si>
  <si>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</si>
  <si>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</si>
  <si>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</si>
  <si>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</si>
  <si>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</si>
  <si>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</si>
  <si>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</si>
  <si>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</si>
  <si>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</si>
  <si>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</si>
  <si>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</si>
  <si>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</si>
  <si>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</si>
  <si>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</si>
  <si>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</si>
  <si>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</si>
  <si>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</si>
  <si>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</si>
  <si>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</si>
  <si>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</si>
  <si>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</si>
  <si>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</si>
  <si>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</si>
  <si>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</si>
  <si>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</si>
  <si>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</si>
  <si>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</si>
  <si>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</si>
  <si>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</si>
  <si>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</si>
  <si>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</si>
  <si>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</si>
  <si>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</si>
  <si>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</si>
  <si>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</si>
  <si>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</si>
  <si>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</si>
  <si>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</si>
  <si>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</si>
  <si>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</si>
  <si>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</si>
  <si>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</si>
  <si>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</si>
  <si>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</si>
  <si>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</si>
  <si>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</si>
  <si>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</si>
  <si>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</si>
  <si>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</si>
  <si>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</si>
  <si>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</si>
  <si>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</si>
  <si>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</si>
  <si>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</si>
  <si>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</si>
  <si>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</si>
  <si>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</si>
  <si>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</si>
  <si>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</si>
  <si>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</si>
  <si>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</si>
  <si>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</si>
  <si>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</si>
  <si>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</si>
  <si>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</si>
  <si>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</si>
  <si>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</si>
  <si>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</si>
  <si>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</si>
  <si>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</si>
  <si>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</si>
  <si>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</si>
  <si>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</si>
  <si>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</si>
  <si>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</si>
  <si>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</si>
  <si>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</si>
  <si>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</si>
  <si>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</si>
  <si>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</si>
  <si>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</si>
  <si>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</si>
  <si>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</si>
  <si>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</si>
  <si>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</si>
  <si>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</si>
  <si>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</si>
  <si>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</si>
  <si>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</si>
  <si>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</si>
  <si>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</si>
  <si>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</si>
  <si>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</si>
  <si>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</si>
  <si>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</si>
  <si>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</si>
  <si>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</si>
  <si>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</si>
  <si>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</si>
  <si>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</si>
  <si>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</si>
  <si>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</si>
  <si>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</si>
  <si>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</si>
  <si>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</si>
  <si>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</si>
  <si>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</si>
  <si>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</si>
  <si>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</si>
  <si>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</si>
  <si>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</si>
  <si>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</si>
  <si>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</si>
  <si>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</si>
  <si>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</si>
  <si>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</si>
  <si>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</si>
  <si>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</si>
  <si>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</si>
  <si>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</si>
  <si>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</si>
  <si>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</si>
  <si>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</si>
  <si>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</si>
  <si>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</si>
  <si>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</si>
  <si>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</si>
  <si>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</si>
  <si>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</si>
  <si>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</si>
  <si>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</si>
  <si>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</si>
  <si>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</si>
  <si>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</si>
  <si>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</si>
  <si>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</si>
  <si>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</si>
  <si>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</si>
  <si>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</si>
  <si>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</si>
  <si>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</si>
  <si>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</si>
  <si>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</si>
  <si>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</si>
  <si>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</si>
  <si>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</si>
  <si>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</si>
  <si>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</si>
  <si>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</si>
  <si>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</si>
  <si>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</si>
  <si>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</si>
  <si>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</si>
  <si>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</si>
  <si>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</si>
  <si>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</si>
  <si>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</si>
  <si>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</si>
  <si>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</si>
  <si>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</si>
  <si>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</si>
  <si>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</si>
  <si>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</si>
  <si>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</si>
  <si>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</si>
  <si>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</si>
  <si>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</si>
  <si>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</si>
  <si>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</si>
  <si>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</si>
  <si>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</si>
  <si>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</si>
  <si>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</si>
  <si>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</si>
  <si>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</si>
  <si>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</si>
  <si>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</si>
  <si>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</si>
  <si>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</si>
  <si>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</si>
  <si>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</si>
  <si>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</si>
  <si>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</si>
  <si>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</si>
  <si>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</si>
  <si>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</si>
  <si>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</si>
  <si>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</si>
  <si>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</si>
  <si>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</si>
  <si>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</si>
  <si>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</si>
  <si>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</si>
  <si>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</si>
  <si>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</si>
  <si>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</si>
  <si>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</si>
  <si>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</si>
  <si>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</si>
  <si>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</si>
  <si>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</si>
  <si>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</si>
  <si>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</si>
  <si>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</si>
  <si>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</si>
  <si>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</si>
  <si>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</si>
  <si>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</si>
  <si>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</si>
  <si>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</si>
  <si>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</si>
  <si>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</si>
  <si>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</si>
  <si>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</si>
  <si>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</si>
  <si>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</si>
  <si>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</si>
  <si>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</si>
  <si>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</si>
  <si>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</si>
  <si>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</si>
  <si>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</si>
  <si>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</si>
  <si>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</si>
  <si>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</si>
  <si>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</si>
  <si>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</si>
  <si>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</si>
  <si>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</si>
  <si>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</si>
  <si>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</si>
  <si>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</si>
  <si>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</si>
  <si>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</si>
  <si>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</si>
  <si>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</si>
  <si>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</si>
  <si>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</si>
  <si>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</si>
  <si>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</si>
  <si>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</si>
  <si>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</si>
  <si>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</si>
  <si>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</si>
  <si>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</si>
  <si>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</si>
  <si>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</si>
  <si>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</si>
  <si>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</si>
  <si>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</si>
  <si>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</si>
  <si>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</si>
  <si>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</si>
  <si>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</si>
  <si>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</si>
  <si>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</si>
  <si>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</si>
  <si>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</si>
  <si>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</si>
  <si>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</si>
  <si>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</si>
  <si>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</si>
  <si>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</si>
  <si>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</si>
  <si>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</si>
  <si>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</si>
  <si>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</si>
  <si>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</si>
  <si>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</si>
  <si>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</si>
  <si>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</si>
  <si>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</si>
  <si>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</si>
  <si>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</si>
  <si>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</si>
  <si>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</si>
  <si>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</si>
  <si>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</si>
  <si>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</si>
  <si>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</si>
  <si>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</si>
  <si>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</si>
  <si>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</si>
  <si>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</si>
  <si>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</si>
  <si>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</si>
  <si>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</si>
  <si>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</si>
  <si>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</si>
  <si>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</si>
  <si>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</si>
  <si>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</si>
  <si>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</si>
  <si>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</si>
  <si>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</si>
  <si>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</si>
  <si>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</si>
  <si>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</si>
  <si>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</si>
  <si>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</si>
  <si>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</si>
  <si>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</si>
  <si>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</si>
  <si>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</si>
  <si>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</si>
  <si>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</si>
  <si>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</si>
  <si>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</si>
  <si>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</si>
  <si>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</si>
  <si>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</si>
  <si>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</si>
  <si>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</si>
  <si>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</si>
  <si>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</si>
  <si>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</si>
  <si>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</si>
  <si>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</si>
  <si>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</si>
  <si>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</si>
  <si>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</si>
  <si>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</si>
  <si>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</si>
  <si>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</si>
  <si>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</si>
  <si>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</si>
  <si>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</si>
  <si>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</si>
  <si>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</si>
  <si>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</si>
  <si>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</si>
  <si>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</si>
  <si>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</si>
  <si>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</si>
  <si>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</si>
  <si>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</si>
  <si>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</si>
  <si>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</si>
  <si>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</si>
  <si>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</si>
  <si>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</si>
  <si>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</si>
  <si>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</si>
  <si>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</si>
  <si>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</si>
  <si>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</si>
  <si>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</si>
  <si>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</si>
  <si>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</si>
  <si>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</si>
  <si>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</si>
  <si>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</si>
  <si>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</si>
  <si>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</si>
  <si>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</si>
  <si>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</si>
  <si>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</si>
  <si>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</si>
  <si>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</si>
  <si>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</si>
  <si>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</si>
  <si>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</si>
  <si>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</si>
  <si>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</si>
  <si>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</si>
  <si>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</si>
  <si>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</si>
  <si>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</si>
  <si>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</si>
  <si>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</si>
  <si>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</si>
  <si>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</si>
  <si>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</si>
  <si>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</si>
  <si>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</si>
  <si>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</si>
  <si>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</si>
  <si>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</si>
  <si>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</si>
  <si>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</si>
  <si>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</si>
  <si>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</si>
  <si>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</si>
  <si>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</si>
  <si>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</si>
  <si>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</si>
  <si>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</si>
  <si>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</si>
  <si>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</si>
  <si>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</si>
  <si>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</si>
  <si>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</si>
  <si>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</si>
  <si>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</si>
  <si>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</si>
  <si>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</si>
  <si>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</si>
  <si>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</si>
  <si>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</si>
  <si>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</si>
  <si>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</si>
  <si>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</si>
  <si>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</si>
  <si>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</si>
  <si>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</si>
  <si>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</si>
  <si>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</si>
  <si>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</si>
  <si>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</si>
  <si>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</si>
  <si>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</si>
  <si>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</si>
  <si>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</si>
  <si>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</si>
  <si>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</si>
  <si>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</si>
  <si>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</si>
  <si>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</si>
  <si>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</si>
  <si>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</si>
  <si>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</si>
  <si>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</si>
  <si>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</si>
  <si>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</si>
  <si>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</si>
  <si>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</si>
  <si>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</si>
  <si>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</si>
  <si>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</si>
  <si>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</si>
  <si>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</si>
  <si>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</si>
  <si>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</si>
  <si>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</si>
  <si>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</si>
  <si>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</si>
  <si>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</si>
  <si>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</si>
  <si>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</si>
  <si>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</si>
  <si>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</si>
  <si>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</si>
  <si>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</si>
  <si>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</si>
  <si>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</si>
  <si>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</si>
  <si>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</si>
  <si>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</si>
  <si>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</si>
  <si>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</si>
  <si>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</si>
  <si>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</si>
  <si>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</si>
  <si>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</si>
  <si>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</si>
  <si>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</si>
  <si>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</si>
  <si>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</si>
  <si>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</si>
  <si>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</si>
  <si>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</si>
  <si>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</si>
  <si>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</si>
  <si>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</si>
  <si>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</si>
  <si>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</si>
  <si>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</si>
  <si>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</si>
  <si>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</si>
  <si>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</si>
  <si>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</si>
  <si>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</si>
  <si>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</si>
  <si>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</si>
  <si>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</si>
  <si>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</si>
  <si>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</si>
  <si>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</si>
  <si>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</si>
  <si>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</si>
  <si>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</si>
  <si>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</si>
  <si>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</si>
  <si>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</si>
  <si>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</si>
  <si>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</si>
  <si>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</si>
  <si>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</si>
  <si>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</si>
  <si>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</si>
  <si>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</si>
  <si>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</si>
  <si>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</si>
  <si>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</si>
  <si>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</si>
  <si>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</si>
  <si>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</si>
  <si>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</si>
  <si>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</si>
  <si>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</si>
  <si>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</si>
  <si>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</si>
  <si>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</si>
  <si>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</si>
  <si>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</si>
  <si>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</si>
  <si>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</si>
  <si>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</si>
  <si>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</si>
  <si>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</si>
  <si>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</si>
  <si>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</si>
  <si>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</si>
  <si>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</si>
  <si>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</si>
  <si>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</si>
  <si>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</si>
  <si>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</si>
  <si>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</si>
  <si>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</si>
  <si>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</si>
  <si>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</si>
  <si>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</si>
  <si>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</si>
  <si>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</si>
  <si>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</si>
  <si>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</si>
  <si>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</si>
  <si>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</si>
  <si>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</si>
  <si>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</si>
  <si>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</si>
  <si>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</si>
  <si>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</si>
  <si>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</si>
  <si>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</si>
  <si>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</si>
  <si>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</si>
  <si>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</si>
  <si>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</si>
  <si>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</si>
  <si>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</si>
  <si>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</si>
  <si>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</si>
  <si>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</si>
  <si>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</si>
  <si>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</si>
  <si>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</si>
  <si>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</si>
  <si>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</si>
  <si>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</si>
  <si>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</si>
  <si>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</si>
  <si>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</si>
  <si>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</si>
  <si>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</si>
  <si>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</si>
  <si>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</si>
  <si>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</si>
  <si>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</si>
  <si>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</si>
  <si>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</si>
  <si>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</si>
  <si>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</si>
  <si>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</si>
  <si>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</si>
  <si>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</si>
  <si>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</si>
  <si>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</si>
  <si>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</si>
  <si>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</si>
  <si>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</si>
  <si>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</si>
  <si>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</si>
  <si>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</si>
  <si>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</si>
  <si>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</si>
  <si>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</si>
  <si>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</si>
  <si>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</si>
  <si>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</si>
  <si>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</si>
  <si>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</si>
  <si>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</si>
  <si>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</si>
  <si>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</si>
  <si>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</si>
  <si>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</si>
  <si>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</si>
  <si>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</si>
  <si>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</si>
  <si>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</si>
  <si>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</si>
  <si>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</si>
  <si>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</si>
  <si>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</si>
  <si>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</si>
  <si>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</si>
  <si>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</si>
  <si>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</si>
  <si>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</si>
  <si>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</si>
  <si>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</si>
  <si>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</si>
  <si>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</si>
  <si>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</si>
  <si>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</si>
  <si>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</si>
  <si>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</si>
  <si>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</si>
  <si>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</si>
  <si>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</si>
  <si>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</si>
  <si>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</si>
  <si>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</si>
  <si>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</si>
  <si>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</si>
  <si>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</si>
  <si>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</si>
  <si>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</si>
  <si>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</si>
  <si>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</si>
  <si>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</si>
  <si>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</si>
  <si>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</si>
  <si>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</si>
  <si>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</si>
  <si>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</si>
  <si>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</si>
  <si>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</si>
  <si>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</si>
  <si>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</si>
  <si>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</si>
  <si>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</si>
  <si>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</si>
  <si>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</si>
  <si>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</si>
  <si>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</si>
  <si>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</si>
  <si>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</si>
  <si>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</si>
  <si>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</si>
  <si>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</si>
  <si>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</si>
  <si>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</si>
  <si>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</si>
  <si>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</si>
  <si>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</si>
  <si>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</si>
  <si>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</si>
  <si>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</si>
  <si>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</si>
  <si>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</si>
  <si>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</si>
  <si>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</si>
  <si>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</si>
  <si>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</si>
  <si>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</si>
  <si>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</si>
  <si>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</si>
  <si>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</si>
  <si>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</si>
  <si>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</si>
  <si>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</si>
  <si>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</si>
  <si>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</si>
  <si>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</si>
  <si>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</si>
  <si>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</si>
  <si>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</si>
  <si>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</si>
  <si>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</si>
  <si>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</si>
  <si>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</si>
  <si>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</si>
  <si>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</si>
  <si>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</si>
  <si>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</si>
  <si>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</si>
  <si>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</si>
  <si>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</si>
  <si>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</si>
  <si>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</si>
  <si>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</si>
  <si>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</si>
  <si>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</si>
  <si>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</si>
  <si>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</si>
  <si>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</si>
  <si>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</si>
  <si>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</si>
  <si>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</si>
  <si>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</si>
  <si>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</si>
  <si>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</si>
  <si>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</si>
  <si>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</si>
  <si>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</si>
  <si>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</si>
  <si>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</si>
  <si>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</si>
  <si>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</si>
  <si>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</si>
  <si>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</si>
  <si>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</si>
  <si>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</si>
  <si>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</si>
  <si>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</si>
  <si>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</si>
  <si>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</si>
  <si>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</si>
  <si>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</si>
  <si>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</si>
  <si>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</si>
  <si>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</si>
  <si>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</si>
  <si>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</si>
  <si>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</si>
  <si>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</si>
  <si>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</si>
  <si>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</si>
  <si>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</si>
  <si>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</si>
  <si>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</si>
  <si>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</si>
  <si>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</si>
  <si>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</si>
  <si>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</si>
  <si>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</si>
  <si>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</si>
  <si>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</si>
  <si>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</si>
  <si>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</si>
  <si>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</si>
  <si>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</si>
  <si>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</si>
  <si>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</si>
  <si>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</si>
  <si>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</si>
  <si>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</si>
  <si>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</si>
  <si>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</si>
  <si>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</si>
  <si>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</si>
  <si>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</si>
  <si>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</si>
  <si>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</si>
  <si>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</si>
  <si>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</si>
  <si>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</si>
  <si>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</si>
  <si>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</si>
  <si>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</si>
  <si>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</si>
  <si>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</si>
  <si>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</si>
  <si>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</si>
  <si>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</si>
  <si>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</si>
  <si>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</si>
  <si>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</si>
  <si>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</si>
  <si>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</si>
  <si>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</si>
  <si>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</si>
  <si>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</si>
  <si>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</si>
  <si>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</si>
  <si>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</si>
  <si>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</si>
  <si>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</si>
  <si>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</si>
  <si>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</si>
  <si>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</si>
  <si>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</si>
  <si>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</si>
  <si>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</si>
  <si>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</si>
  <si>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</si>
  <si>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</si>
  <si>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</si>
  <si>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</si>
  <si>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</si>
  <si>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</si>
  <si>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</si>
  <si>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</si>
  <si>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</si>
  <si>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</si>
  <si>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</si>
  <si>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</si>
  <si>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</si>
  <si>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</si>
  <si>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</si>
  <si>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</si>
  <si>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</si>
  <si>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</si>
  <si>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</si>
  <si>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</si>
  <si>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</si>
  <si>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</si>
  <si>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</si>
  <si>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</si>
  <si>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</si>
  <si>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</si>
  <si>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</si>
  <si>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</si>
  <si>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</si>
  <si>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</si>
  <si>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</si>
  <si>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</si>
  <si>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</si>
  <si>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</si>
  <si>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</si>
  <si>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</si>
  <si>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</si>
  <si>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</si>
  <si>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</si>
  <si>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</si>
  <si>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</si>
  <si>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</si>
  <si>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</si>
  <si>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</si>
  <si>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</si>
  <si>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</si>
  <si>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</si>
  <si>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</si>
  <si>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</si>
  <si>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</si>
  <si>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</si>
  <si>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</si>
  <si>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</si>
  <si>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</si>
  <si>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</si>
  <si>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</si>
  <si>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</si>
  <si>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</si>
  <si>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</si>
  <si>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</si>
  <si>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</si>
  <si>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</si>
  <si>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</si>
  <si>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</si>
  <si>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</si>
  <si>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</si>
  <si>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</si>
  <si>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</si>
  <si>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</si>
  <si>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</si>
  <si>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</si>
  <si>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</si>
  <si>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</si>
  <si>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</si>
  <si>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</si>
  <si>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</si>
  <si>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</si>
  <si>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</si>
  <si>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</si>
  <si>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</si>
  <si>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</si>
  <si>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</si>
  <si>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</si>
  <si>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</si>
  <si>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</si>
  <si>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</si>
  <si>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</si>
  <si>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</si>
  <si>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</si>
  <si>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</si>
  <si>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</si>
  <si>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</si>
  <si>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</si>
  <si>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</si>
  <si>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</si>
  <si>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</si>
  <si>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</si>
  <si>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</si>
  <si>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</si>
  <si>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</si>
  <si>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</si>
  <si>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</si>
  <si>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</si>
  <si>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</si>
  <si>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</si>
  <si>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</si>
  <si>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</si>
  <si>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</si>
  <si>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</si>
  <si>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</si>
  <si>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</si>
  <si>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</si>
  <si>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</si>
  <si>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</si>
  <si>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</si>
  <si>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</si>
  <si>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</si>
  <si>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</si>
  <si>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</si>
  <si>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</si>
  <si>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</si>
  <si>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</si>
  <si>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</si>
  <si>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</si>
  <si>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</si>
  <si>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</si>
  <si>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</si>
  <si>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</si>
  <si>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</si>
  <si>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</si>
  <si>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</si>
  <si>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</si>
  <si>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</si>
  <si>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</si>
  <si>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</si>
  <si>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</si>
  <si>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</si>
  <si>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</si>
  <si>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</si>
  <si>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</si>
  <si>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</si>
  <si>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</si>
  <si>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</si>
  <si>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</si>
  <si>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</si>
  <si>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</si>
  <si>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</si>
  <si>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</si>
  <si>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</si>
  <si>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</si>
  <si>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</si>
  <si>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</si>
  <si>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</si>
  <si>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</si>
  <si>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</si>
  <si>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</si>
  <si>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</si>
  <si>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</si>
  <si>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</si>
  <si>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</si>
  <si>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</si>
  <si>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</si>
  <si>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</si>
  <si>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</si>
  <si>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</si>
  <si>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</si>
  <si>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</si>
  <si>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</si>
  <si>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</si>
  <si>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</si>
  <si>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</si>
  <si>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</si>
  <si>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</si>
  <si>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</si>
  <si>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</si>
  <si>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</si>
  <si>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</si>
  <si>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</si>
  <si>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</si>
  <si>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</si>
  <si>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</si>
  <si>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</si>
  <si>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</si>
  <si>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</si>
  <si>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</si>
  <si>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</si>
  <si>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</si>
  <si>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</si>
  <si>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</si>
  <si>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</si>
  <si>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</si>
  <si>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</si>
  <si>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</si>
  <si>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</si>
  <si>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</si>
  <si>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</si>
  <si>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</si>
  <si>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</si>
  <si>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</si>
  <si>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</si>
  <si>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</si>
  <si>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</si>
  <si>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</si>
  <si>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</si>
  <si>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</si>
  <si>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</si>
  <si>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</si>
  <si>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</si>
  <si>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</si>
  <si>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</si>
  <si>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</si>
  <si>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</si>
  <si>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</si>
  <si>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</si>
  <si>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</si>
  <si>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</si>
  <si>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</si>
  <si>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</si>
  <si>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</si>
  <si>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</si>
  <si>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</si>
  <si>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</si>
  <si>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</si>
  <si>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</si>
  <si>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</si>
  <si>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</si>
  <si>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</si>
  <si>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</si>
  <si>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</si>
  <si>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</si>
  <si>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</si>
  <si>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</si>
  <si>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</si>
  <si>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</si>
  <si>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</si>
  <si>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</si>
  <si>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</si>
  <si>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</si>
  <si>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</si>
  <si>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</si>
  <si>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</si>
  <si>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</si>
  <si>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</si>
  <si>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</si>
  <si>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</si>
  <si>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</si>
  <si>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</si>
  <si>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</si>
  <si>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</si>
  <si>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</si>
  <si>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</si>
  <si>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</si>
  <si>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</si>
  <si>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</si>
  <si>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</si>
  <si>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</si>
  <si>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</si>
  <si>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</si>
  <si>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</si>
  <si>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</si>
  <si>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</si>
  <si>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</si>
  <si>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</si>
  <si>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</si>
  <si>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</si>
  <si>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</si>
  <si>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</si>
  <si>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</si>
  <si>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</si>
  <si>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</si>
  <si>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</si>
  <si>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</si>
  <si>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</si>
  <si>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</si>
  <si>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</si>
  <si>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</si>
  <si>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</si>
  <si>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</si>
  <si>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</si>
  <si>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</si>
  <si>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</si>
  <si>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</si>
  <si>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</si>
  <si>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</si>
  <si>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</si>
  <si>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</si>
  <si>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</si>
  <si>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</si>
  <si>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</si>
  <si>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</si>
  <si>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</si>
  <si>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</si>
  <si>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</si>
  <si>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</si>
  <si>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</si>
  <si>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</si>
  <si>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</si>
  <si>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</si>
  <si>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</si>
  <si>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</si>
  <si>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</si>
  <si>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</si>
  <si>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</si>
  <si>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</si>
  <si>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</si>
  <si>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</si>
  <si>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</si>
  <si>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</si>
  <si>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</si>
  <si>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</si>
  <si>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</si>
  <si>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</si>
  <si>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</si>
  <si>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</si>
  <si>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</si>
  <si>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</si>
  <si>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</si>
  <si>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</si>
  <si>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</si>
  <si>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</si>
  <si>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</si>
  <si>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</si>
  <si>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</si>
  <si>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</si>
  <si>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</si>
  <si>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</si>
  <si>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</si>
  <si>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</si>
  <si>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</si>
  <si>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</si>
  <si>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</si>
  <si>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</si>
  <si>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</si>
  <si>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</si>
  <si>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</si>
  <si>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</si>
  <si>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</si>
  <si>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</si>
  <si>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</si>
  <si>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</si>
  <si>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</si>
  <si>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</si>
  <si>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</si>
  <si>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</si>
  <si>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</si>
  <si>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</si>
  <si>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</si>
  <si>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</si>
  <si>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</si>
  <si>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</si>
  <si>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</si>
  <si>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</si>
  <si>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</si>
  <si>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</si>
  <si>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</si>
  <si>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</si>
  <si>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</si>
  <si>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</si>
  <si>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</si>
  <si>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</si>
  <si>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</si>
  <si>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</si>
  <si>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</si>
  <si>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</si>
  <si>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</si>
  <si>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</si>
  <si>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</si>
  <si>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</si>
  <si>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</si>
  <si>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</si>
  <si>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</si>
  <si>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</si>
  <si>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</si>
  <si>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</si>
  <si>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</si>
  <si>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</si>
  <si>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</si>
  <si>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</si>
  <si>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</si>
  <si>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</si>
  <si>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</si>
  <si>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</si>
  <si>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</si>
  <si>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</si>
  <si>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</si>
  <si>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</si>
  <si>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</si>
  <si>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</si>
  <si>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</si>
  <si>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</si>
  <si>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</si>
  <si>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</si>
  <si>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</si>
  <si>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</si>
  <si>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</si>
  <si>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</si>
  <si>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</si>
  <si>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</si>
  <si>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</si>
  <si>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</si>
  <si>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</si>
  <si>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</si>
  <si>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</si>
  <si>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</si>
  <si>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</si>
  <si>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</si>
  <si>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</si>
  <si>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</si>
  <si>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</si>
  <si>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</si>
  <si>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</si>
  <si>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</si>
  <si>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</si>
  <si>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</si>
  <si>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</si>
  <si>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</si>
  <si>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</si>
  <si>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</si>
  <si>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</si>
  <si>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</si>
  <si>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</si>
  <si>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</si>
  <si>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</si>
  <si>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</si>
  <si>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</si>
  <si>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</si>
  <si>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</si>
  <si>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</si>
  <si>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</si>
  <si>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</si>
  <si>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</si>
  <si>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</si>
  <si>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</si>
  <si>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</si>
  <si>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</si>
  <si>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</si>
  <si>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</si>
  <si>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</si>
  <si>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</si>
  <si>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</si>
  <si>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</si>
  <si>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</si>
  <si>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</si>
  <si>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</si>
  <si>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</si>
  <si>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</si>
  <si>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</si>
  <si>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</si>
  <si>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</si>
  <si>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</si>
  <si>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</si>
  <si>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</si>
  <si>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</si>
  <si>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</si>
  <si>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</si>
  <si>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</si>
  <si>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</si>
  <si>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</si>
  <si>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</si>
  <si>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</si>
  <si>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</si>
  <si>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</si>
  <si>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</si>
  <si>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</si>
  <si>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</si>
  <si>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</si>
  <si>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</si>
  <si>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</si>
  <si>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</si>
  <si>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</si>
  <si>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</si>
  <si>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</si>
  <si>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</si>
  <si>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</si>
  <si>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</si>
  <si>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</si>
  <si>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</si>
  <si>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</si>
  <si>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</si>
  <si>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</si>
  <si>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</si>
  <si>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</si>
  <si>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</si>
  <si>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</si>
  <si>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</si>
  <si>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</si>
  <si>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</si>
  <si>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</si>
  <si>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</si>
  <si>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</si>
  <si>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</si>
  <si>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</si>
  <si>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</si>
  <si>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</si>
  <si>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</si>
  <si>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</si>
  <si>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</si>
  <si>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</si>
  <si>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</si>
  <si>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</si>
  <si>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</si>
  <si>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</si>
  <si>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</si>
  <si>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</si>
  <si>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</si>
  <si>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</si>
  <si>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</si>
  <si>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</si>
  <si>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</si>
  <si>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</si>
  <si>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</si>
  <si>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</si>
  <si>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</si>
  <si>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</si>
  <si>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</si>
  <si>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</si>
  <si>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</si>
  <si>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</si>
  <si>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</si>
  <si>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</si>
  <si>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</si>
  <si>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</si>
  <si>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</si>
  <si>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</si>
  <si>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</si>
  <si>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</si>
  <si>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</si>
  <si>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</si>
  <si>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</si>
  <si>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</si>
  <si>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</si>
  <si>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</si>
  <si>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</si>
  <si>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</si>
  <si>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</si>
  <si>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</si>
  <si>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</si>
  <si>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</si>
  <si>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</si>
  <si>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</si>
  <si>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</si>
  <si>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</si>
  <si>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</si>
  <si>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</si>
  <si>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</si>
  <si>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</si>
  <si>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</si>
  <si>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</si>
  <si>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</si>
  <si>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</si>
  <si>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</si>
  <si>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</si>
  <si>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</si>
  <si>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</si>
  <si>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</si>
  <si>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</si>
  <si>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</si>
  <si>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</si>
  <si>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</si>
  <si>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</si>
  <si>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</si>
  <si>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</si>
  <si>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</si>
  <si>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</si>
  <si>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</si>
  <si>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</si>
  <si>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</si>
  <si>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</si>
  <si>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</si>
  <si>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</si>
  <si>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</si>
  <si>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</si>
  <si>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</si>
  <si>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</si>
  <si>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</si>
  <si>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</si>
  <si>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</si>
  <si>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</si>
  <si>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</si>
  <si>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</si>
  <si>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</si>
  <si>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</si>
  <si>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</si>
  <si>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</si>
  <si>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</si>
  <si>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</si>
  <si>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</si>
  <si>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</si>
  <si>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</si>
  <si>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</si>
  <si>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</si>
  <si>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</si>
  <si>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</si>
  <si>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</si>
  <si>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</si>
  <si>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</si>
  <si>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</si>
  <si>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</si>
  <si>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</si>
  <si>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</si>
  <si>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</si>
  <si>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</si>
  <si>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</si>
  <si>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</si>
  <si>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</si>
  <si>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</si>
  <si>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</si>
  <si>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</si>
  <si>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</si>
  <si>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</si>
  <si>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</si>
  <si>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</si>
  <si>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</si>
  <si>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</si>
  <si>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</si>
  <si>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</si>
  <si>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</si>
  <si>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</si>
  <si>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</si>
  <si>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</si>
  <si>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</si>
  <si>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</si>
  <si>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</si>
  <si>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</si>
  <si>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</si>
  <si>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</si>
  <si>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</si>
  <si>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</si>
  <si>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</si>
  <si>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</si>
  <si>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</si>
  <si>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</si>
  <si>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</si>
  <si>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</si>
  <si>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</si>
  <si>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</si>
  <si>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</si>
  <si>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</si>
  <si>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</si>
  <si>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</si>
  <si>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</si>
  <si>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</si>
  <si>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</si>
  <si>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</si>
  <si>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</si>
  <si>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</si>
  <si>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</si>
  <si>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</si>
  <si>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</si>
  <si>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</si>
  <si>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</si>
  <si>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</si>
  <si>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</si>
  <si>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</si>
  <si>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</si>
  <si>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</si>
  <si>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</si>
  <si>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</si>
  <si>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</si>
  <si>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</si>
  <si>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</si>
  <si>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</si>
  <si>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</si>
  <si>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</si>
  <si>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</si>
  <si>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</si>
  <si>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</si>
  <si>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</si>
  <si>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</si>
  <si>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</si>
  <si>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</si>
  <si>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</si>
  <si>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</si>
  <si>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</si>
  <si>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</si>
  <si>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</si>
  <si>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</si>
  <si>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</si>
  <si>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</si>
  <si>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</si>
  <si>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</si>
  <si>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</si>
  <si>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</si>
  <si>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</si>
  <si>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</si>
  <si>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</si>
  <si>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</si>
  <si>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</si>
  <si>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</si>
  <si>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</si>
  <si>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</si>
  <si>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</si>
  <si>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</si>
  <si>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</si>
  <si>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</si>
  <si>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</si>
  <si>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</si>
  <si>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</si>
  <si>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</si>
  <si>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</si>
  <si>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</si>
  <si>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</si>
  <si>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</si>
  <si>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</si>
  <si>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</si>
  <si>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</si>
  <si>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</si>
  <si>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</si>
  <si>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</si>
  <si>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</si>
  <si>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</si>
  <si>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</si>
  <si>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</si>
  <si>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</si>
  <si>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</si>
  <si>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</si>
  <si>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</si>
  <si>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</si>
  <si>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</si>
  <si>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</si>
  <si>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</si>
  <si>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</si>
  <si>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</si>
  <si>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</si>
  <si>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</si>
  <si>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</si>
  <si>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</si>
  <si>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</si>
  <si>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</si>
  <si>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</si>
  <si>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</si>
  <si>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</si>
  <si>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</si>
  <si>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</si>
  <si>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</si>
  <si>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</si>
  <si>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</si>
  <si>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</si>
  <si>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</si>
  <si>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</si>
  <si>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</si>
  <si>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</si>
  <si>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</si>
  <si>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</si>
  <si>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</si>
  <si>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</si>
  <si>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</si>
  <si>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</si>
  <si>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</si>
  <si>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</si>
  <si>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</si>
  <si>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</si>
  <si>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</si>
  <si>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</si>
  <si>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</si>
  <si>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</si>
  <si>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</si>
  <si>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</si>
  <si>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</si>
  <si>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</si>
  <si>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</si>
  <si>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</si>
  <si>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</si>
  <si>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</si>
  <si>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</si>
  <si>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</si>
  <si>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</si>
  <si>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</si>
  <si>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</si>
  <si>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</si>
  <si>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</si>
  <si>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</si>
  <si>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</si>
  <si>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</si>
  <si>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</si>
  <si>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</si>
  <si>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</si>
  <si>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</si>
  <si>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</si>
  <si>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</si>
  <si>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</si>
  <si>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</si>
  <si>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</si>
  <si>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</si>
  <si>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</si>
  <si>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</si>
  <si>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</si>
  <si>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</si>
  <si>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</si>
  <si>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</si>
  <si>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</si>
  <si>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</si>
  <si>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</si>
  <si>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</si>
  <si>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</si>
  <si>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</si>
  <si>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</si>
  <si>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</si>
  <si>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</si>
  <si>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</si>
  <si>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</si>
  <si>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</si>
  <si>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</si>
  <si>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</si>
  <si>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</si>
  <si>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</si>
  <si>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</si>
  <si>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</si>
  <si>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</si>
  <si>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</si>
  <si>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</si>
  <si>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</si>
  <si>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</si>
  <si>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</si>
  <si>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</si>
  <si>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</si>
  <si>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</si>
  <si>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</si>
  <si>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</si>
  <si>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</si>
  <si>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</si>
  <si>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</si>
  <si>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</si>
  <si>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</si>
  <si>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</si>
  <si>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</si>
  <si>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</si>
  <si>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</si>
  <si>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</si>
  <si>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</si>
  <si>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</si>
  <si>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</si>
  <si>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</si>
  <si>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</si>
  <si>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</si>
  <si>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</si>
  <si>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</si>
  <si>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</si>
  <si>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</si>
  <si>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</si>
  <si>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</si>
  <si>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</si>
  <si>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</si>
  <si>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</si>
  <si>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</si>
  <si>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</si>
  <si>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</si>
  <si>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</si>
  <si>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</si>
  <si>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</si>
  <si>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</si>
  <si>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</si>
  <si>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</si>
  <si>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</si>
  <si>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</si>
  <si>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</si>
  <si>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</si>
  <si>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</si>
  <si>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</si>
  <si>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</si>
  <si>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</si>
  <si>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</si>
  <si>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</si>
  <si>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</si>
  <si>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</si>
  <si>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</si>
  <si>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</si>
  <si>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</si>
  <si>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</si>
  <si>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</si>
  <si>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</si>
  <si>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</si>
  <si>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</si>
  <si>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</si>
  <si>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</si>
  <si>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</si>
  <si>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</si>
  <si>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</si>
  <si>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</si>
  <si>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</si>
  <si>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</si>
  <si>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</si>
  <si>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</si>
  <si>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</si>
  <si>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</si>
  <si>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</si>
  <si>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</si>
  <si>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</si>
  <si>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</si>
  <si>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</si>
  <si>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</si>
  <si>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</si>
  <si>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</si>
  <si>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</si>
  <si>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</si>
  <si>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</si>
  <si>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</si>
  <si>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</si>
  <si>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</si>
  <si>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</si>
  <si>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</si>
  <si>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</si>
  <si>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</si>
  <si>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</si>
  <si>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</si>
  <si>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</si>
  <si>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</si>
  <si>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</si>
  <si>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</si>
  <si>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</si>
  <si>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</si>
  <si>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</si>
  <si>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</si>
  <si>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</si>
  <si>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</si>
  <si>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</si>
  <si>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</si>
  <si>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</si>
  <si>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</si>
  <si>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</si>
  <si>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</si>
  <si>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</si>
  <si>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</si>
  <si>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</si>
  <si>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</si>
  <si>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</si>
  <si>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</si>
  <si>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</si>
  <si>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</si>
  <si>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</si>
  <si>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</si>
  <si>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</si>
  <si>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</si>
  <si>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</si>
  <si>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</si>
  <si>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</si>
  <si>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</si>
  <si>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</si>
  <si>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</si>
  <si>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</si>
  <si>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</si>
  <si>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</si>
  <si>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</si>
  <si>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</si>
  <si>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</si>
  <si>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</si>
  <si>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</si>
  <si>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</si>
  <si>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</si>
  <si>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</si>
  <si>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</si>
  <si>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</si>
  <si>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</si>
  <si>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</si>
  <si>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</si>
  <si>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</si>
  <si>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</si>
  <si>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</si>
  <si>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</si>
  <si>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</si>
  <si>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</si>
  <si>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</si>
  <si>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</si>
  <si>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</si>
  <si>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</si>
  <si>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</si>
  <si>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</si>
  <si>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</si>
  <si>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</si>
  <si>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</si>
  <si>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</si>
  <si>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</si>
  <si>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</si>
  <si>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</si>
  <si>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</si>
  <si>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</si>
  <si>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</si>
  <si>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</si>
  <si>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</si>
  <si>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</si>
  <si>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</si>
  <si>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</si>
  <si>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</si>
  <si>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</si>
  <si>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</si>
  <si>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</si>
  <si>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</si>
  <si>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</si>
  <si>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</si>
  <si>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</si>
  <si>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</si>
  <si>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</si>
  <si>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</si>
  <si>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</si>
  <si>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</si>
  <si>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</si>
  <si>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</si>
  <si>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</si>
  <si>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</si>
  <si>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</si>
  <si>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</si>
  <si>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</si>
  <si>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</si>
  <si>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</si>
  <si>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</si>
  <si>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</si>
  <si>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</si>
  <si>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</si>
  <si>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</si>
  <si>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</si>
  <si>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</si>
  <si>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</si>
  <si>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</si>
  <si>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</si>
  <si>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</si>
  <si>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</si>
  <si>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</si>
  <si>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</si>
  <si>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</si>
  <si>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</si>
  <si>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</si>
  <si>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</si>
  <si>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</si>
  <si>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</si>
  <si>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</si>
  <si>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</si>
  <si>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</si>
  <si>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</si>
  <si>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</si>
  <si>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</si>
  <si>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</si>
  <si>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</si>
  <si>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</si>
  <si>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</si>
  <si>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</si>
  <si>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</si>
  <si>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</si>
  <si>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</si>
  <si>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</si>
  <si>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</si>
  <si>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</si>
  <si>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</si>
  <si>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</si>
  <si>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</si>
  <si>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</si>
  <si>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</si>
  <si>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</si>
  <si>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</si>
  <si>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</si>
  <si>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</si>
  <si>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</si>
  <si>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</si>
  <si>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</si>
  <si>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</si>
  <si>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</si>
  <si>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</si>
  <si>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</si>
  <si>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</si>
  <si>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</si>
  <si>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</si>
  <si>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</si>
  <si>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</si>
  <si>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</si>
  <si>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</si>
  <si>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</si>
  <si>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</si>
  <si>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</si>
  <si>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</si>
  <si>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</si>
  <si>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</si>
  <si>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</si>
  <si>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</si>
  <si>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</si>
  <si>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</si>
  <si>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</si>
  <si>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</si>
  <si>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</si>
  <si>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</si>
  <si>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</si>
  <si>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</si>
  <si>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</si>
  <si>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</si>
  <si>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</si>
  <si>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</si>
  <si>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</si>
  <si>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</si>
  <si>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</si>
  <si>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</si>
  <si>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</si>
  <si>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</si>
  <si>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</si>
  <si>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</si>
  <si>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</si>
  <si>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</si>
  <si>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</si>
  <si>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</si>
  <si>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</si>
  <si>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</si>
  <si>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</si>
  <si>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</si>
  <si>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</si>
  <si>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</si>
  <si>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</si>
  <si>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</si>
  <si>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</si>
  <si>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</si>
  <si>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</si>
  <si>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</si>
  <si>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</si>
  <si>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</si>
  <si>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</si>
  <si>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</si>
  <si>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</si>
  <si>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</si>
  <si>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</si>
  <si>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</si>
  <si>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</si>
  <si>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</si>
  <si>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</si>
  <si>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</si>
  <si>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</si>
  <si>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</si>
  <si>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</si>
  <si>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</si>
  <si>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</si>
  <si>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</si>
  <si>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</si>
  <si>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</si>
  <si>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</si>
  <si>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</si>
  <si>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</si>
  <si>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</si>
  <si>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</si>
  <si>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</si>
  <si>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</si>
  <si>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</si>
  <si>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</si>
  <si>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</si>
  <si>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</si>
  <si>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</si>
  <si>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</si>
  <si>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</si>
  <si>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</si>
  <si>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</si>
  <si>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</si>
  <si>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</si>
  <si>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</si>
  <si>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</si>
  <si>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</si>
  <si>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</si>
  <si>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</si>
  <si>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</si>
  <si>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</si>
  <si>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</si>
  <si>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</si>
  <si>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</si>
  <si>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</si>
  <si>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</si>
  <si>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</si>
  <si>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</si>
  <si>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</si>
  <si>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</si>
  <si>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</si>
  <si>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</si>
  <si>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</si>
  <si>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</si>
  <si>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</si>
  <si>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</si>
  <si>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</si>
  <si>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</si>
  <si>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</si>
  <si>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</si>
  <si>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</si>
  <si>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</si>
  <si>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</si>
  <si>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</si>
  <si>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</si>
  <si>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</si>
  <si>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</si>
  <si>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</si>
  <si>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</si>
  <si>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</si>
  <si>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</si>
  <si>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</si>
  <si>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</si>
  <si>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</si>
  <si>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</si>
  <si>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</si>
  <si>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</si>
  <si>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</si>
  <si>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</si>
  <si>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</si>
  <si>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</si>
  <si>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</si>
  <si>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</si>
  <si>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</si>
  <si>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</si>
  <si>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</si>
  <si>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</si>
  <si>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</si>
  <si>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</si>
  <si>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</si>
  <si>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</si>
  <si>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</si>
  <si>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</si>
  <si>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</si>
  <si>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</si>
  <si>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</si>
  <si>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</si>
  <si>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</si>
  <si>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</si>
  <si>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</si>
  <si>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</si>
  <si>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</si>
  <si>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</si>
  <si>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</si>
  <si>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</si>
  <si>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</si>
  <si>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</si>
  <si>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</si>
  <si>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</si>
  <si>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</si>
  <si>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</si>
  <si>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</si>
  <si>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</si>
  <si>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</si>
  <si>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</si>
  <si>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</si>
  <si>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</si>
  <si>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</si>
  <si>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</si>
  <si>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</si>
  <si>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</si>
  <si>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</si>
  <si>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</si>
  <si>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</si>
  <si>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</si>
  <si>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</si>
  <si>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</si>
  <si>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</si>
  <si>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</si>
  <si>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</si>
  <si>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</si>
  <si>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</si>
  <si>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</si>
  <si>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</si>
  <si>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</si>
  <si>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</si>
  <si>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</si>
  <si>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</si>
  <si>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</si>
  <si>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</si>
  <si>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</si>
  <si>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</si>
  <si>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</si>
  <si>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</si>
  <si>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</si>
  <si>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</si>
  <si>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</si>
  <si>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</si>
  <si>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</si>
  <si>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</si>
  <si>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</si>
  <si>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</si>
  <si>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</si>
  <si>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</si>
  <si>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</si>
  <si>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</si>
  <si>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</si>
  <si>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</si>
  <si>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</si>
  <si>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</si>
  <si>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</si>
  <si>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</si>
  <si>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</si>
  <si>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</si>
  <si>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</si>
  <si>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</si>
  <si>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</si>
  <si>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</si>
  <si>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</si>
  <si>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</si>
  <si>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</si>
  <si>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</si>
  <si>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</si>
  <si>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</si>
  <si>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</si>
  <si>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</si>
  <si>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</si>
  <si>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</si>
  <si>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</si>
  <si>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</si>
  <si>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</si>
  <si>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</si>
  <si>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</si>
  <si>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</si>
  <si>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</si>
  <si>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</si>
  <si>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</si>
  <si>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</si>
  <si>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</si>
  <si>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</si>
  <si>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</si>
  <si>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</si>
  <si>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</si>
  <si>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</si>
  <si>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</si>
  <si>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</si>
  <si>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</si>
  <si>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</si>
  <si>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</si>
  <si>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</si>
  <si>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</si>
  <si>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</si>
  <si>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</si>
  <si>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</si>
  <si>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</si>
  <si>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</si>
  <si>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</si>
  <si>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</si>
  <si>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</si>
  <si>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</si>
  <si>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</si>
  <si>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</si>
  <si>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</si>
  <si>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</si>
  <si>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</si>
  <si>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</si>
  <si>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</si>
  <si>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</si>
  <si>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</si>
  <si>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</si>
  <si>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</si>
  <si>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</si>
  <si>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</si>
  <si>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</si>
  <si>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</si>
  <si>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</si>
  <si>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</si>
  <si>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</si>
  <si>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</si>
  <si>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</si>
  <si>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</si>
  <si>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</si>
  <si>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</si>
  <si>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</si>
  <si>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</si>
  <si>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</si>
  <si>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</si>
  <si>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</si>
  <si>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</si>
  <si>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</si>
  <si>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</si>
  <si>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</si>
  <si>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</si>
  <si>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</si>
  <si>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</si>
  <si>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</si>
  <si>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</si>
  <si>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</si>
  <si>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</si>
  <si>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</si>
  <si>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</si>
  <si>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</si>
  <si>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</si>
  <si>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</si>
  <si>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</si>
  <si>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</si>
  <si>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</si>
  <si>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</si>
  <si>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</si>
  <si>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</si>
  <si>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</si>
  <si>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</si>
  <si>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</si>
  <si>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</si>
  <si>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</si>
  <si>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</si>
  <si>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</si>
  <si>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</si>
  <si>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</si>
  <si>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</si>
  <si>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</si>
  <si>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</si>
  <si>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</si>
  <si>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</si>
  <si>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</si>
  <si>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</si>
  <si>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</si>
  <si>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</si>
  <si>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</si>
  <si>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</si>
  <si>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</si>
  <si>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</si>
  <si>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</si>
  <si>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</si>
  <si>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</si>
  <si>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</si>
  <si>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</si>
  <si>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</si>
  <si>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</si>
  <si>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</si>
  <si>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</si>
  <si>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</si>
  <si>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</si>
  <si>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</si>
  <si>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</si>
  <si>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</si>
  <si>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</si>
  <si>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</si>
  <si>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</si>
  <si>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</si>
  <si>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</si>
  <si>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</si>
  <si>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</si>
  <si>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</si>
  <si>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</si>
  <si>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</si>
  <si>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</si>
  <si>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</si>
  <si>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</si>
  <si>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</si>
  <si>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</si>
  <si>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</si>
  <si>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</si>
  <si>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</si>
  <si>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</si>
  <si>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</si>
  <si>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</si>
  <si>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</si>
  <si>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</si>
  <si>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</si>
  <si>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</si>
  <si>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</si>
  <si>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</si>
  <si>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</si>
  <si>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</si>
  <si>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</si>
  <si>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</si>
  <si>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</si>
  <si>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</si>
  <si>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</si>
  <si>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</si>
  <si>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</si>
  <si>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</si>
  <si>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</si>
  <si>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</si>
  <si>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</si>
  <si>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</si>
  <si>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</si>
  <si>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</si>
  <si>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</si>
  <si>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</si>
  <si>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</si>
  <si>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</si>
  <si>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</si>
  <si>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</si>
  <si>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</si>
  <si>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</si>
  <si>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</si>
  <si>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</si>
  <si>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</si>
  <si>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</si>
  <si>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</si>
  <si>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</si>
  <si>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</si>
  <si>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</si>
  <si>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</si>
  <si>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</si>
  <si>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</si>
  <si>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</si>
  <si>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</si>
  <si>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</si>
  <si>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</si>
  <si>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</si>
  <si>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</si>
  <si>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</si>
  <si>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</si>
  <si>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</si>
  <si>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</si>
  <si>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</si>
  <si>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</si>
  <si>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</si>
  <si>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</si>
  <si>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</si>
  <si>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</si>
  <si>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</si>
  <si>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</si>
  <si>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</si>
  <si>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</si>
  <si>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</si>
  <si>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</si>
  <si>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</si>
  <si>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</si>
  <si>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</si>
  <si>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</si>
  <si>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</si>
  <si>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</si>
  <si>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</si>
  <si>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</si>
  <si>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</si>
  <si>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</si>
  <si>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</si>
  <si>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</si>
  <si>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</si>
  <si>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</si>
  <si>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</si>
  <si>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</si>
  <si>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</si>
  <si>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</si>
  <si>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</si>
  <si>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</si>
  <si>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</si>
  <si>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</si>
  <si>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</si>
  <si>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</si>
  <si>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</si>
  <si>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</si>
  <si>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</si>
  <si>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</si>
  <si>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</si>
  <si>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</si>
  <si>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</si>
  <si>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</si>
  <si>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</si>
  <si>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</si>
  <si>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</si>
  <si>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</si>
  <si>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</si>
  <si>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</si>
  <si>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</si>
  <si>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</si>
  <si>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</si>
  <si>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</si>
  <si>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</si>
  <si>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</si>
  <si>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</si>
  <si>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</si>
  <si>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</si>
  <si>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</si>
  <si>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</si>
  <si>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</si>
  <si>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</si>
  <si>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</si>
  <si>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</si>
  <si>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</si>
  <si>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</si>
  <si>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</si>
  <si>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</si>
  <si>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</si>
  <si>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</si>
  <si>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</si>
  <si>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</si>
  <si>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</si>
  <si>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</si>
  <si>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</si>
  <si>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</si>
  <si>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</si>
  <si>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</si>
  <si>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</si>
  <si>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</si>
  <si>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</si>
  <si>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</si>
  <si>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</si>
  <si>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</si>
  <si>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</si>
  <si>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</si>
  <si>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</si>
  <si>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</si>
  <si>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</si>
  <si>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</si>
  <si>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</si>
  <si>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</si>
  <si>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</si>
  <si>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</si>
  <si>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</si>
  <si>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</si>
  <si>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</si>
  <si>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</si>
  <si>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</si>
  <si>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</si>
  <si>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</si>
  <si>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</si>
  <si>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</si>
  <si>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r>
      <rPr>
        <sz val="10"/>
        <color rgb="FF000000"/>
        <rFont val="Noto Sans CJK SC"/>
        <family val="2"/>
      </rPr>
      <t xml:space="preserve">稽核判斷會議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統一定義</t>
    </r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</si>
  <si>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</si>
  <si>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</si>
  <si>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</si>
  <si>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</si>
  <si>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 D7-1–D7-4</t>
    </r>
  </si>
  <si>
    <t xml:space="preserve">AF1-D8</t>
  </si>
  <si>
    <r>
      <rPr>
        <sz val="10"/>
        <color rgb="FF000000"/>
        <rFont val="Noto Sans CJK SC"/>
        <family val="2"/>
      </rPr>
      <t xml:space="preserve">稽核判斷會議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：「不可達」的語意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</si>
  <si>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</si>
  <si>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</si>
  <si>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 D8-1–D8-5</t>
    </r>
  </si>
  <si>
    <t xml:space="preserve">AF1-D11</t>
  </si>
  <si>
    <r>
      <rPr>
        <sz val="10"/>
        <color rgb="FF000000"/>
        <rFont val="Noto Sans CJK SC"/>
        <family val="2"/>
      </rPr>
      <t xml:space="preserve">稽核判斷會議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：回本溢價與攤提的分母</t>
    </r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</si>
  <si>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</si>
  <si>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</si>
  <si>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 D11-1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D11-2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</si>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</sst>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7" hidden="false" customHeight="false" outlineLevel="0" collapsed="false">
      <c r="A39" s="10" t="s">
        <v>72</v>
      </c>
      <c r="B39" s="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74</v>
      </c>
    </row>
    <row r="2" customFormat="false" ht="15" hidden="false" customHeight="true" outlineLevel="0" collapsed="false">
      <c r="A2" s="11" t="s">
        <v>75</v>
      </c>
    </row>
    <row r="3" customFormat="false" ht="15" hidden="false" customHeight="true" outlineLevel="0" collapsed="false">
      <c r="A3" s="12" t="s">
        <v>76</v>
      </c>
      <c r="B3" s="12" t="s">
        <v>77</v>
      </c>
      <c r="C3" s="12"/>
      <c r="D3" s="12" t="s">
        <v>78</v>
      </c>
      <c r="E3" s="12" t="s">
        <v>79</v>
      </c>
      <c r="F3" s="12" t="s">
        <v>80</v>
      </c>
      <c r="G3" s="12" t="s">
        <v>81</v>
      </c>
      <c r="H3" s="12" t="s">
        <v>82</v>
      </c>
    </row>
    <row r="4" customFormat="false" ht="15" hidden="false" customHeight="true" outlineLevel="0" collapsed="false">
      <c r="A4" s="13" t="s">
        <v>83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84</v>
      </c>
      <c r="B5" s="16" t="s">
        <v>85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86</v>
      </c>
      <c r="H5" s="19" t="s">
        <v>87</v>
      </c>
    </row>
    <row r="6" customFormat="false" ht="15" hidden="false" customHeight="true" outlineLevel="0" collapsed="false">
      <c r="A6" s="20" t="s">
        <v>88</v>
      </c>
      <c r="B6" s="21" t="s">
        <v>89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86</v>
      </c>
      <c r="H6" s="19" t="s">
        <v>90</v>
      </c>
    </row>
    <row r="7" customFormat="false" ht="15" hidden="false" customHeight="true" outlineLevel="0" collapsed="false">
      <c r="A7" s="13" t="s">
        <v>91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92</v>
      </c>
      <c r="B8" s="16" t="s">
        <v>93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94</v>
      </c>
      <c r="H8" s="19" t="s">
        <v>95</v>
      </c>
    </row>
    <row r="9" customFormat="false" ht="15" hidden="false" customHeight="true" outlineLevel="0" collapsed="false">
      <c r="A9" s="15" t="s">
        <v>96</v>
      </c>
      <c r="B9" s="16" t="s">
        <v>97</v>
      </c>
      <c r="D9" s="24" t="n">
        <v>1.1</v>
      </c>
      <c r="E9" s="24" t="n">
        <v>1.2</v>
      </c>
      <c r="F9" s="24" t="n">
        <v>1.3</v>
      </c>
      <c r="G9" s="16" t="s">
        <v>98</v>
      </c>
      <c r="H9" s="19" t="s">
        <v>99</v>
      </c>
    </row>
    <row r="10" customFormat="false" ht="15" hidden="false" customHeight="true" outlineLevel="0" collapsed="false">
      <c r="A10" s="20" t="s">
        <v>100</v>
      </c>
      <c r="B10" s="16" t="s">
        <v>93</v>
      </c>
      <c r="D10" s="23" t="n">
        <v>0.7</v>
      </c>
      <c r="E10" s="23" t="n">
        <v>0.8</v>
      </c>
      <c r="F10" s="23" t="n">
        <v>0.9</v>
      </c>
      <c r="G10" s="16" t="s">
        <v>94</v>
      </c>
      <c r="H10" s="6" t="s">
        <v>101</v>
      </c>
    </row>
    <row r="11" customFormat="false" ht="15" hidden="false" customHeight="true" outlineLevel="0" collapsed="false">
      <c r="A11" s="20" t="s">
        <v>102</v>
      </c>
      <c r="B11" s="16" t="s">
        <v>103</v>
      </c>
      <c r="D11" s="24" t="n">
        <v>0.06</v>
      </c>
      <c r="E11" s="24" t="n">
        <v>0.08</v>
      </c>
      <c r="F11" s="24" t="n">
        <v>0.1</v>
      </c>
      <c r="G11" s="16" t="s">
        <v>104</v>
      </c>
      <c r="H11" s="6" t="s">
        <v>105</v>
      </c>
    </row>
    <row r="12" customFormat="false" ht="15" hidden="false" customHeight="true" outlineLevel="0" collapsed="false">
      <c r="A12" s="25" t="s">
        <v>106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107</v>
      </c>
      <c r="B13" s="16" t="s">
        <v>93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98</v>
      </c>
      <c r="H13" s="6" t="s">
        <v>108</v>
      </c>
    </row>
    <row r="14" customFormat="false" ht="15" hidden="false" customHeight="true" outlineLevel="0" collapsed="false">
      <c r="A14" s="20" t="s">
        <v>109</v>
      </c>
      <c r="B14" s="16" t="s">
        <v>110</v>
      </c>
      <c r="D14" s="18" t="n">
        <v>300</v>
      </c>
      <c r="E14" s="18" t="n">
        <v>500</v>
      </c>
      <c r="F14" s="18" t="n">
        <v>800</v>
      </c>
      <c r="G14" s="16" t="s">
        <v>94</v>
      </c>
      <c r="H14" s="6" t="s">
        <v>111</v>
      </c>
    </row>
    <row r="15" customFormat="false" ht="15" hidden="false" customHeight="true" outlineLevel="0" collapsed="false">
      <c r="A15" s="13" t="s">
        <v>112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113</v>
      </c>
      <c r="B16" s="16" t="s">
        <v>114</v>
      </c>
      <c r="D16" s="24" t="n">
        <v>0.02</v>
      </c>
      <c r="E16" s="24" t="n">
        <v>0.02</v>
      </c>
      <c r="F16" s="24" t="n">
        <v>0.02</v>
      </c>
      <c r="G16" s="16" t="s">
        <v>94</v>
      </c>
      <c r="H16" s="6" t="s">
        <v>115</v>
      </c>
    </row>
    <row r="17" customFormat="false" ht="15" hidden="false" customHeight="true" outlineLevel="0" collapsed="false">
      <c r="A17" s="20" t="s">
        <v>116</v>
      </c>
      <c r="B17" s="16" t="s">
        <v>114</v>
      </c>
      <c r="D17" s="24" t="n">
        <v>3</v>
      </c>
      <c r="E17" s="24" t="n">
        <v>3.6</v>
      </c>
      <c r="F17" s="24" t="n">
        <v>4.5</v>
      </c>
      <c r="G17" s="16" t="s">
        <v>94</v>
      </c>
      <c r="H17" s="19" t="s">
        <v>117</v>
      </c>
    </row>
    <row r="18" customFormat="false" ht="15" hidden="false" customHeight="true" outlineLevel="0" collapsed="false">
      <c r="A18" s="20" t="s">
        <v>118</v>
      </c>
      <c r="B18" s="16" t="s">
        <v>114</v>
      </c>
      <c r="D18" s="24" t="n">
        <v>3.8</v>
      </c>
      <c r="E18" s="24" t="n">
        <v>4.5</v>
      </c>
      <c r="F18" s="24" t="n">
        <v>5.5</v>
      </c>
      <c r="G18" s="16" t="s">
        <v>94</v>
      </c>
      <c r="H18" s="19" t="s">
        <v>119</v>
      </c>
    </row>
    <row r="19" customFormat="false" ht="15" hidden="false" customHeight="true" outlineLevel="0" collapsed="false">
      <c r="A19" s="20" t="s">
        <v>120</v>
      </c>
      <c r="B19" s="16" t="s">
        <v>114</v>
      </c>
      <c r="D19" s="24" t="n">
        <v>2</v>
      </c>
      <c r="E19" s="24" t="n">
        <v>2.5</v>
      </c>
      <c r="F19" s="24" t="n">
        <v>3.2</v>
      </c>
      <c r="G19" s="16" t="s">
        <v>94</v>
      </c>
      <c r="H19" s="19" t="s">
        <v>121</v>
      </c>
    </row>
    <row r="20" customFormat="false" ht="15" hidden="false" customHeight="true" outlineLevel="0" collapsed="false">
      <c r="A20" s="20" t="s">
        <v>122</v>
      </c>
      <c r="B20" s="16" t="s">
        <v>114</v>
      </c>
      <c r="D20" s="24" t="n">
        <v>0.3</v>
      </c>
      <c r="E20" s="24" t="n">
        <v>0.4</v>
      </c>
      <c r="F20" s="24" t="n">
        <v>0.5</v>
      </c>
      <c r="G20" s="16" t="s">
        <v>94</v>
      </c>
      <c r="H20" s="19" t="s">
        <v>119</v>
      </c>
    </row>
    <row r="21" customFormat="false" ht="15" hidden="false" customHeight="true" outlineLevel="0" collapsed="false">
      <c r="A21" s="20" t="s">
        <v>123</v>
      </c>
      <c r="B21" s="16" t="s">
        <v>124</v>
      </c>
      <c r="D21" s="23" t="n">
        <v>0.12</v>
      </c>
      <c r="E21" s="23" t="n">
        <v>0.15</v>
      </c>
      <c r="F21" s="23" t="n">
        <v>0.18</v>
      </c>
      <c r="G21" s="16" t="s">
        <v>94</v>
      </c>
      <c r="H21" s="6" t="s">
        <v>125</v>
      </c>
    </row>
    <row r="22" customFormat="false" ht="15" hidden="false" customHeight="true" outlineLevel="0" collapsed="false">
      <c r="A22" s="13" t="s">
        <v>126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127</v>
      </c>
      <c r="B23" s="21" t="s">
        <v>128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129</v>
      </c>
      <c r="H23" s="6" t="s">
        <v>130</v>
      </c>
    </row>
    <row r="24" customFormat="false" ht="15" hidden="false" customHeight="true" outlineLevel="0" collapsed="false">
      <c r="A24" s="20" t="s">
        <v>131</v>
      </c>
      <c r="B24" s="21" t="s">
        <v>128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98</v>
      </c>
      <c r="H24" s="6" t="s">
        <v>132</v>
      </c>
    </row>
    <row r="25" customFormat="false" ht="15" hidden="false" customHeight="true" outlineLevel="0" collapsed="false">
      <c r="A25" s="20" t="s">
        <v>133</v>
      </c>
      <c r="B25" s="21" t="s">
        <v>128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98</v>
      </c>
      <c r="H25" s="6" t="s">
        <v>132</v>
      </c>
    </row>
    <row r="26" customFormat="false" ht="15" hidden="false" customHeight="true" outlineLevel="0" collapsed="false">
      <c r="A26" s="20" t="s">
        <v>134</v>
      </c>
      <c r="B26" s="21" t="s">
        <v>128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98</v>
      </c>
      <c r="H26" s="6" t="s">
        <v>132</v>
      </c>
    </row>
    <row r="27" customFormat="false" ht="15" hidden="false" customHeight="true" outlineLevel="0" collapsed="false">
      <c r="A27" s="20" t="s">
        <v>135</v>
      </c>
      <c r="B27" s="21" t="s">
        <v>128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98</v>
      </c>
      <c r="H27" s="6" t="s">
        <v>132</v>
      </c>
    </row>
    <row r="28" customFormat="false" ht="15" hidden="false" customHeight="true" outlineLevel="0" collapsed="false">
      <c r="A28" s="15" t="s">
        <v>136</v>
      </c>
      <c r="B28" s="16" t="s">
        <v>93</v>
      </c>
      <c r="D28" s="23" t="n">
        <v>0.08</v>
      </c>
      <c r="E28" s="23" t="n">
        <v>0.1</v>
      </c>
      <c r="F28" s="23" t="n">
        <v>0.13</v>
      </c>
      <c r="G28" s="16" t="s">
        <v>94</v>
      </c>
      <c r="H28" s="19" t="s">
        <v>137</v>
      </c>
    </row>
    <row r="29" customFormat="false" ht="15" hidden="false" customHeight="true" outlineLevel="0" collapsed="false">
      <c r="A29" s="13" t="s">
        <v>138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139</v>
      </c>
      <c r="B30" s="16" t="s">
        <v>140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141</v>
      </c>
      <c r="H30" s="6" t="s">
        <v>142</v>
      </c>
    </row>
    <row r="31" customFormat="false" ht="15" hidden="false" customHeight="true" outlineLevel="0" collapsed="false">
      <c r="A31" s="20" t="s">
        <v>143</v>
      </c>
      <c r="B31" s="16" t="s">
        <v>144</v>
      </c>
      <c r="D31" s="23" t="n">
        <v>0.015</v>
      </c>
      <c r="E31" s="23" t="n">
        <v>0.02</v>
      </c>
      <c r="F31" s="23" t="n">
        <v>0.025</v>
      </c>
      <c r="G31" s="16" t="s">
        <v>98</v>
      </c>
      <c r="H31" s="6" t="s">
        <v>145</v>
      </c>
    </row>
    <row r="32" customFormat="false" ht="15" hidden="false" customHeight="true" outlineLevel="0" collapsed="false">
      <c r="A32" s="20" t="s">
        <v>146</v>
      </c>
      <c r="B32" s="16" t="s">
        <v>147</v>
      </c>
      <c r="D32" s="18" t="n">
        <v>50</v>
      </c>
      <c r="E32" s="18" t="n">
        <v>75</v>
      </c>
      <c r="F32" s="18" t="n">
        <v>100</v>
      </c>
      <c r="G32" s="16" t="s">
        <v>94</v>
      </c>
      <c r="H32" s="6" t="s">
        <v>148</v>
      </c>
    </row>
    <row r="33" customFormat="false" ht="15" hidden="false" customHeight="true" outlineLevel="0" collapsed="false">
      <c r="A33" s="20" t="s">
        <v>149</v>
      </c>
      <c r="B33" s="16" t="s">
        <v>147</v>
      </c>
      <c r="D33" s="18" t="n">
        <v>150</v>
      </c>
      <c r="E33" s="18" t="n">
        <v>200</v>
      </c>
      <c r="F33" s="18" t="n">
        <v>250</v>
      </c>
      <c r="G33" s="16" t="s">
        <v>94</v>
      </c>
      <c r="H33" s="6" t="s">
        <v>150</v>
      </c>
    </row>
    <row r="34" customFormat="false" ht="15" hidden="false" customHeight="true" outlineLevel="0" collapsed="false">
      <c r="A34" s="20" t="s">
        <v>151</v>
      </c>
      <c r="B34" s="16" t="s">
        <v>152</v>
      </c>
      <c r="D34" s="24" t="n">
        <v>0.04</v>
      </c>
      <c r="E34" s="24" t="n">
        <v>0.05</v>
      </c>
      <c r="F34" s="24" t="n">
        <v>0.06</v>
      </c>
      <c r="G34" s="16" t="s">
        <v>94</v>
      </c>
      <c r="H34" s="6" t="s">
        <v>153</v>
      </c>
    </row>
    <row r="35" customFormat="false" ht="15" hidden="false" customHeight="true" outlineLevel="0" collapsed="false">
      <c r="A35" s="20" t="s">
        <v>154</v>
      </c>
      <c r="B35" s="16" t="s">
        <v>155</v>
      </c>
      <c r="D35" s="23" t="n">
        <v>0.003</v>
      </c>
      <c r="E35" s="23" t="n">
        <v>0.005</v>
      </c>
      <c r="F35" s="23" t="n">
        <v>0.008</v>
      </c>
      <c r="G35" s="16" t="s">
        <v>98</v>
      </c>
      <c r="H35" s="6" t="s">
        <v>156</v>
      </c>
    </row>
    <row r="36" customFormat="false" ht="15" hidden="false" customHeight="true" outlineLevel="0" collapsed="false">
      <c r="A36" s="28" t="s">
        <v>157</v>
      </c>
      <c r="B36" s="29" t="s">
        <v>128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129</v>
      </c>
      <c r="H36" s="28" t="s">
        <v>158</v>
      </c>
    </row>
    <row r="37" customFormat="false" ht="15" hidden="false" customHeight="true" outlineLevel="0" collapsed="false">
      <c r="A37" s="28" t="s">
        <v>159</v>
      </c>
      <c r="B37" s="32" t="s">
        <v>140</v>
      </c>
      <c r="D37" s="33" t="n">
        <v>0.0025</v>
      </c>
      <c r="E37" s="33" t="n">
        <v>0.005</v>
      </c>
      <c r="F37" s="33" t="n">
        <v>0.01</v>
      </c>
      <c r="G37" s="32" t="s">
        <v>98</v>
      </c>
      <c r="H37" s="28" t="s">
        <v>160</v>
      </c>
    </row>
    <row r="38" customFormat="false" ht="15" hidden="false" customHeight="true" outlineLevel="0" collapsed="false">
      <c r="A38" s="28" t="s">
        <v>161</v>
      </c>
      <c r="B38" s="32" t="s">
        <v>140</v>
      </c>
      <c r="D38" s="33" t="n">
        <v>0.02</v>
      </c>
      <c r="E38" s="33" t="n">
        <v>0.03</v>
      </c>
      <c r="F38" s="33" t="n">
        <v>0.05</v>
      </c>
      <c r="G38" s="32" t="s">
        <v>98</v>
      </c>
      <c r="H38" s="28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163</v>
      </c>
    </row>
    <row r="2" customFormat="false" ht="15" hidden="false" customHeight="true" outlineLevel="0" collapsed="false">
      <c r="A2" s="11" t="s">
        <v>164</v>
      </c>
    </row>
    <row r="4" customFormat="false" ht="15" hidden="false" customHeight="true" outlineLevel="0" collapsed="false">
      <c r="A4" s="34" t="s">
        <v>165</v>
      </c>
      <c r="C4" s="25" t="s">
        <v>166</v>
      </c>
      <c r="D4" s="25" t="s">
        <v>167</v>
      </c>
      <c r="E4" s="25" t="s">
        <v>168</v>
      </c>
      <c r="F4" s="25" t="s">
        <v>169</v>
      </c>
      <c r="G4" s="25" t="s">
        <v>170</v>
      </c>
      <c r="H4" s="9" t="s">
        <v>171</v>
      </c>
    </row>
    <row r="5" customFormat="false" ht="15" hidden="false" customHeight="true" outlineLevel="0" collapsed="false">
      <c r="A5" s="20" t="s">
        <v>172</v>
      </c>
      <c r="C5" s="6" t="s">
        <v>173</v>
      </c>
      <c r="D5" s="6" t="s">
        <v>174</v>
      </c>
      <c r="E5" s="6" t="s">
        <v>175</v>
      </c>
      <c r="F5" s="6" t="s">
        <v>176</v>
      </c>
      <c r="G5" s="6" t="s">
        <v>177</v>
      </c>
    </row>
    <row r="6" customFormat="false" ht="15" hidden="false" customHeight="true" outlineLevel="0" collapsed="false">
      <c r="A6" s="15" t="s">
        <v>178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179</v>
      </c>
      <c r="C7" s="19" t="s">
        <v>180</v>
      </c>
      <c r="D7" s="19" t="s">
        <v>181</v>
      </c>
      <c r="E7" s="19" t="s">
        <v>181</v>
      </c>
      <c r="F7" s="19" t="s">
        <v>182</v>
      </c>
      <c r="G7" s="19" t="s">
        <v>181</v>
      </c>
    </row>
    <row r="8" customFormat="false" ht="15" hidden="false" customHeight="true" outlineLevel="0" collapsed="false">
      <c r="A8" s="20" t="s">
        <v>183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184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185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186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187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188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189</v>
      </c>
      <c r="C14" s="38" t="s">
        <v>190</v>
      </c>
      <c r="D14" s="39" t="s">
        <v>191</v>
      </c>
      <c r="E14" s="39" t="s">
        <v>119</v>
      </c>
      <c r="F14" s="39" t="s">
        <v>192</v>
      </c>
      <c r="G14" s="38" t="s">
        <v>193</v>
      </c>
    </row>
    <row r="15" customFormat="false" ht="54" hidden="false" customHeight="true" outlineLevel="0" collapsed="false">
      <c r="A15" s="20" t="s">
        <v>194</v>
      </c>
      <c r="C15" s="38" t="s">
        <v>195</v>
      </c>
      <c r="D15" s="39" t="s">
        <v>196</v>
      </c>
      <c r="E15" s="38" t="s">
        <v>197</v>
      </c>
      <c r="F15" s="38" t="s">
        <v>198</v>
      </c>
      <c r="G15" s="39" t="s">
        <v>199</v>
      </c>
    </row>
    <row r="16" customFormat="false" ht="54" hidden="false" customHeight="true" outlineLevel="0" collapsed="false">
      <c r="A16" s="20" t="s">
        <v>200</v>
      </c>
      <c r="C16" s="38" t="s">
        <v>201</v>
      </c>
      <c r="D16" s="38" t="s">
        <v>202</v>
      </c>
      <c r="E16" s="38" t="s">
        <v>203</v>
      </c>
      <c r="F16" s="38" t="s">
        <v>204</v>
      </c>
      <c r="G16" s="39" t="s">
        <v>205</v>
      </c>
    </row>
    <row r="17" customFormat="false" ht="54" hidden="false" customHeight="true" outlineLevel="0" collapsed="false">
      <c r="A17" s="20" t="s">
        <v>81</v>
      </c>
      <c r="C17" s="38" t="s">
        <v>98</v>
      </c>
      <c r="D17" s="38" t="s">
        <v>206</v>
      </c>
      <c r="E17" s="38" t="s">
        <v>207</v>
      </c>
      <c r="F17" s="38" t="s">
        <v>206</v>
      </c>
      <c r="G17" s="38" t="s">
        <v>208</v>
      </c>
    </row>
    <row r="19" customFormat="false" ht="15" hidden="false" customHeight="true" outlineLevel="0" collapsed="false">
      <c r="A19" s="11" t="s">
        <v>209</v>
      </c>
    </row>
    <row r="21" customFormat="false" ht="15" hidden="false" customHeight="true" outlineLevel="0" collapsed="false">
      <c r="A21" s="40" t="s">
        <v>210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211</v>
      </c>
      <c r="C22" s="28" t="s">
        <v>212</v>
      </c>
      <c r="D22" s="28" t="s">
        <v>213</v>
      </c>
      <c r="E22" s="28" t="s">
        <v>213</v>
      </c>
      <c r="F22" s="28" t="s">
        <v>213</v>
      </c>
      <c r="G22" s="28" t="s">
        <v>213</v>
      </c>
      <c r="H22" s="42" t="s">
        <v>214</v>
      </c>
    </row>
    <row r="23" customFormat="false" ht="15" hidden="false" customHeight="true" outlineLevel="0" collapsed="false">
      <c r="A23" s="41" t="s">
        <v>215</v>
      </c>
      <c r="C23" s="43" t="n">
        <f aca="false">SRC_HW_040</f>
        <v>1.979</v>
      </c>
      <c r="D23" s="43" t="n">
        <f aca="false">SRC_HW_022</f>
        <v>10</v>
      </c>
      <c r="E23" s="43" t="n">
        <f aca="false">SRC_HW_025</f>
        <v>15</v>
      </c>
      <c r="F23" s="43" t="n">
        <f aca="false">SRC_HW_028</f>
        <v>35</v>
      </c>
      <c r="G23" s="44" t="n">
        <v>70</v>
      </c>
      <c r="H23" s="42" t="s">
        <v>216</v>
      </c>
    </row>
    <row r="24" customFormat="false" ht="15" hidden="false" customHeight="true" outlineLevel="0" collapsed="false">
      <c r="A24" s="41" t="s">
        <v>217</v>
      </c>
      <c r="C24" s="45" t="n">
        <f aca="false">C23</f>
        <v>1.979</v>
      </c>
      <c r="D24" s="43" t="n">
        <f aca="false">SRC_HW_022</f>
        <v>10</v>
      </c>
      <c r="E24" s="43" t="n">
        <f aca="false">SRC_HW_025</f>
        <v>15</v>
      </c>
      <c r="F24" s="43" t="n">
        <f aca="false">SRC_HW_027</f>
        <v>50</v>
      </c>
      <c r="G24" s="44" t="n">
        <v>100</v>
      </c>
      <c r="H24" s="42" t="s">
        <v>218</v>
      </c>
    </row>
    <row r="25" customFormat="false" ht="15" hidden="false" customHeight="true" outlineLevel="0" collapsed="false">
      <c r="A25" s="28" t="s">
        <v>219</v>
      </c>
      <c r="C25" s="46" t="n">
        <f aca="false">SRC_HW_020</f>
        <v>80</v>
      </c>
      <c r="D25" s="47" t="n">
        <v>186</v>
      </c>
      <c r="E25" s="46" t="n">
        <f aca="false">SRC_HW_026</f>
        <v>288</v>
      </c>
      <c r="F25" s="46" t="n">
        <f aca="false">SRC_HW_029</f>
        <v>288</v>
      </c>
      <c r="G25" s="47" t="n">
        <v>1024</v>
      </c>
      <c r="H25" s="42" t="s">
        <v>220</v>
      </c>
    </row>
    <row r="26" customFormat="false" ht="15" hidden="false" customHeight="true" outlineLevel="0" collapsed="false">
      <c r="A26" s="28" t="s">
        <v>221</v>
      </c>
      <c r="C26" s="48" t="n">
        <f aca="false">SRC_HW_021</f>
        <v>3.35</v>
      </c>
      <c r="D26" s="48" t="n">
        <f aca="false">SRC_HW_023</f>
        <v>8</v>
      </c>
      <c r="E26" s="48" t="n">
        <f aca="false">SRC_HW_059</f>
        <v>8</v>
      </c>
      <c r="F26" s="48" t="n">
        <f aca="false">SRC_HW_030</f>
        <v>22</v>
      </c>
      <c r="G26" s="49" t="n">
        <v>32</v>
      </c>
      <c r="H26" s="42" t="s">
        <v>222</v>
      </c>
    </row>
    <row r="27" customFormat="false" ht="15" hidden="false" customHeight="true" outlineLevel="0" collapsed="false">
      <c r="A27" s="28" t="s">
        <v>223</v>
      </c>
      <c r="C27" s="48" t="n">
        <f aca="false">SRC_HW_060/8/1000</f>
        <v>0.05</v>
      </c>
      <c r="D27" s="48" t="n">
        <f aca="false">SRC_HW_048</f>
        <v>0.9</v>
      </c>
      <c r="E27" s="48" t="n">
        <f aca="false">SRC_HW_048</f>
        <v>0.9</v>
      </c>
      <c r="F27" s="48" t="n">
        <f aca="false">SRC_HW_049</f>
        <v>1.8</v>
      </c>
      <c r="G27" s="49" t="n">
        <v>1.8</v>
      </c>
      <c r="H27" s="42" t="s">
        <v>224</v>
      </c>
    </row>
    <row r="28" customFormat="false" ht="15" hidden="false" customHeight="true" outlineLevel="0" collapsed="false">
      <c r="A28" s="28" t="s">
        <v>225</v>
      </c>
      <c r="C28" s="46" t="n">
        <f aca="false">SRC_HW_053</f>
        <v>8</v>
      </c>
      <c r="D28" s="46" t="n">
        <f aca="false">SRC_HW_047</f>
        <v>72</v>
      </c>
      <c r="E28" s="46" t="n">
        <f aca="false">SRC_HW_047</f>
        <v>72</v>
      </c>
      <c r="F28" s="46" t="n">
        <f aca="false">SRC_HW_047</f>
        <v>72</v>
      </c>
      <c r="G28" s="46" t="n">
        <f aca="false">SRC_HW_062</f>
        <v>576</v>
      </c>
      <c r="H28" s="42"/>
    </row>
    <row r="29" customFormat="false" ht="15" hidden="false" customHeight="true" outlineLevel="0" collapsed="false">
      <c r="A29" s="28" t="s">
        <v>226</v>
      </c>
      <c r="C29" s="47" t="n">
        <v>64</v>
      </c>
      <c r="D29" s="47" t="n">
        <v>32</v>
      </c>
      <c r="E29" s="46" t="n">
        <f aca="false">SRC_PERF_008</f>
        <v>32</v>
      </c>
      <c r="F29" s="47" t="n">
        <v>32</v>
      </c>
      <c r="G29" s="47" t="n">
        <v>64</v>
      </c>
      <c r="H29" s="42" t="s">
        <v>227</v>
      </c>
    </row>
    <row r="30" customFormat="false" ht="15" hidden="false" customHeight="true" outlineLevel="0" collapsed="false">
      <c r="A30" s="41" t="s">
        <v>228</v>
      </c>
      <c r="C30" s="50" t="n">
        <f aca="false">SRC_HW_055</f>
        <v>1</v>
      </c>
      <c r="D30" s="50" t="n">
        <f aca="false">SRC_HW_050</f>
        <v>0.5625</v>
      </c>
      <c r="E30" s="50" t="n">
        <f aca="false">SRC_HW_050</f>
        <v>0.5625</v>
      </c>
      <c r="F30" s="50" t="n">
        <f aca="false">SRC_HW_050</f>
        <v>0.5625</v>
      </c>
      <c r="G30" s="50" t="n">
        <f aca="false">SRC_HW_050</f>
        <v>0.5625</v>
      </c>
      <c r="H30" s="42" t="s">
        <v>229</v>
      </c>
    </row>
    <row r="31" customFormat="false" ht="15" hidden="false" customHeight="true" outlineLevel="0" collapsed="false">
      <c r="A31" s="41" t="s">
        <v>230</v>
      </c>
      <c r="C31" s="51" t="n">
        <v>1</v>
      </c>
      <c r="D31" s="51" t="n">
        <v>1</v>
      </c>
      <c r="E31" s="51" t="n">
        <v>1</v>
      </c>
      <c r="F31" s="51" t="n">
        <v>1</v>
      </c>
      <c r="G31" s="51" t="n">
        <v>1</v>
      </c>
      <c r="H31" s="52" t="s">
        <v>231</v>
      </c>
    </row>
    <row r="32" customFormat="false" ht="15" hidden="false" customHeight="true" outlineLevel="0" collapsed="false">
      <c r="A32" s="41" t="s">
        <v>232</v>
      </c>
      <c r="C32" s="47" t="n">
        <v>8</v>
      </c>
      <c r="D32" s="47" t="n">
        <v>4</v>
      </c>
      <c r="E32" s="46" t="n">
        <f aca="false">SRC_PERF_007</f>
        <v>4</v>
      </c>
      <c r="F32" s="47" t="n">
        <v>4</v>
      </c>
      <c r="G32" s="47" t="n">
        <v>8</v>
      </c>
      <c r="H32" s="42" t="s">
        <v>233</v>
      </c>
    </row>
    <row r="33" customFormat="false" ht="15" hidden="false" customHeight="true" outlineLevel="0" collapsed="false">
      <c r="A33" s="28" t="s">
        <v>234</v>
      </c>
      <c r="C33" s="46" t="n">
        <f aca="false">SRC_HW_056</f>
        <v>700</v>
      </c>
      <c r="D33" s="46" t="n">
        <f aca="false">SRC_HW_057</f>
        <v>1200</v>
      </c>
      <c r="E33" s="46" t="n">
        <f aca="false">SRC_HW_058</f>
        <v>1400</v>
      </c>
      <c r="F33" s="46" t="n">
        <f aca="false">SRC_HW_046*1000</f>
        <v>1800</v>
      </c>
      <c r="G33" s="47" t="n">
        <v>3600</v>
      </c>
      <c r="H33" s="42" t="s">
        <v>235</v>
      </c>
    </row>
    <row r="34" customFormat="false" ht="15" hidden="false" customHeight="true" outlineLevel="0" collapsed="false">
      <c r="A34" s="28" t="s">
        <v>236</v>
      </c>
      <c r="C34" s="47" t="n">
        <v>31</v>
      </c>
      <c r="D34" s="47" t="n">
        <v>25</v>
      </c>
      <c r="E34" s="47" t="n">
        <v>25</v>
      </c>
      <c r="F34" s="46" t="n">
        <f aca="false">SRC_HW_034*8</f>
        <v>20</v>
      </c>
      <c r="G34" s="47" t="n">
        <v>18</v>
      </c>
      <c r="H34" s="42" t="s">
        <v>237</v>
      </c>
    </row>
    <row r="35" customFormat="false" ht="15" hidden="false" customHeight="true" outlineLevel="0" collapsed="false">
      <c r="A35" s="9" t="s">
        <v>238</v>
      </c>
      <c r="C35" s="53" t="n">
        <f aca="false">IF(Serving!$C$16=2,C24,C23)</f>
        <v>1.979</v>
      </c>
      <c r="D35" s="53" t="n">
        <f aca="false">IF(Serving!$C$16=2,D24,D23)</f>
        <v>10</v>
      </c>
      <c r="E35" s="53" t="n">
        <f aca="false">IF(Serving!$C$16=2,E24,E23)</f>
        <v>15</v>
      </c>
      <c r="F35" s="53" t="n">
        <f aca="false">IF(Serving!$C$16=2,F24,F23)</f>
        <v>35</v>
      </c>
      <c r="G35" s="53" t="n">
        <f aca="false">IF(Serving!$C$16=2,G24,G23)</f>
        <v>70</v>
      </c>
    </row>
    <row r="36" customFormat="false" ht="15" hidden="false" customHeight="true" outlineLevel="0" collapsed="false">
      <c r="A36" s="28" t="s">
        <v>239</v>
      </c>
      <c r="C36" s="54" t="n">
        <f aca="false">C35*1000/C26</f>
        <v>590.746268656716</v>
      </c>
      <c r="D36" s="54" t="n">
        <f aca="false">D35*1000/D26</f>
        <v>1250</v>
      </c>
      <c r="E36" s="54" t="n">
        <f aca="false">E35*1000/E26</f>
        <v>1875</v>
      </c>
      <c r="F36" s="54" t="n">
        <f aca="false">F35*1000/F26</f>
        <v>1590.90909090909</v>
      </c>
      <c r="G36" s="54" t="n">
        <f aca="false">G35*1000/G26</f>
        <v>2187.5</v>
      </c>
    </row>
    <row r="38" customFormat="false" ht="15" hidden="false" customHeight="true" outlineLevel="0" collapsed="false">
      <c r="A38" s="40" t="s">
        <v>240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241</v>
      </c>
      <c r="C39" s="43" t="n">
        <f aca="false">SRC_HW_019</f>
        <v>0.989</v>
      </c>
      <c r="D39" s="43" t="n">
        <f aca="false">SRC_HW_042</f>
        <v>2.5</v>
      </c>
      <c r="E39" s="43" t="n">
        <f aca="false">SRC_HW_042</f>
        <v>2.5</v>
      </c>
      <c r="F39" s="43" t="n">
        <f aca="false">SRC_HW_039/SRC_HW_047</f>
        <v>4</v>
      </c>
      <c r="G39" s="44" t="n">
        <v>8</v>
      </c>
      <c r="H39" s="42" t="s">
        <v>242</v>
      </c>
    </row>
    <row r="40" customFormat="false" ht="15" hidden="false" customHeight="true" outlineLevel="0" collapsed="false">
      <c r="A40" s="28" t="s">
        <v>243</v>
      </c>
      <c r="C40" s="43" t="n">
        <f aca="false">SRC_HW_040</f>
        <v>1.979</v>
      </c>
      <c r="D40" s="43" t="n">
        <f aca="false">SRC_HW_043</f>
        <v>5</v>
      </c>
      <c r="E40" s="43" t="n">
        <f aca="false">SRC_HW_043</f>
        <v>5</v>
      </c>
      <c r="F40" s="43" t="n">
        <f aca="false">SRC_HW_038/SRC_HW_047</f>
        <v>17.5</v>
      </c>
      <c r="G40" s="44" t="n">
        <v>35</v>
      </c>
      <c r="H40" s="42" t="s">
        <v>244</v>
      </c>
    </row>
    <row r="41" customFormat="false" ht="15" hidden="false" customHeight="true" outlineLevel="0" collapsed="false">
      <c r="A41" s="28" t="s">
        <v>245</v>
      </c>
      <c r="C41" s="45" t="n">
        <f aca="false">C40</f>
        <v>1.979</v>
      </c>
      <c r="D41" s="44" t="n">
        <v>10</v>
      </c>
      <c r="E41" s="44" t="n">
        <v>15</v>
      </c>
      <c r="F41" s="43" t="n">
        <f aca="false">SRC_HW_037/SRC_HW_047</f>
        <v>35</v>
      </c>
      <c r="G41" s="44" t="n">
        <v>70</v>
      </c>
      <c r="H41" s="4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5" t="s">
        <v>247</v>
      </c>
    </row>
    <row r="2" customFormat="false" ht="15" hidden="false" customHeight="false" outlineLevel="0" collapsed="false">
      <c r="A2" s="56" t="s">
        <v>248</v>
      </c>
    </row>
    <row r="4" customFormat="false" ht="15" hidden="false" customHeight="false" outlineLevel="0" collapsed="false">
      <c r="A4" s="57" t="s">
        <v>76</v>
      </c>
      <c r="B4" s="57" t="s">
        <v>77</v>
      </c>
      <c r="C4" s="10" t="s">
        <v>249</v>
      </c>
      <c r="D4" s="10" t="s">
        <v>250</v>
      </c>
      <c r="E4" s="10" t="s">
        <v>251</v>
      </c>
      <c r="F4" s="57" t="s">
        <v>81</v>
      </c>
      <c r="G4" s="57" t="s">
        <v>82</v>
      </c>
    </row>
    <row r="5" customFormat="false" ht="15" hidden="false" customHeight="false" outlineLevel="0" collapsed="false">
      <c r="A5" s="58" t="s">
        <v>252</v>
      </c>
      <c r="B5" s="58"/>
      <c r="C5" s="59" t="s">
        <v>253</v>
      </c>
      <c r="D5" s="59" t="s">
        <v>254</v>
      </c>
      <c r="E5" s="58" t="s">
        <v>255</v>
      </c>
      <c r="F5" s="56" t="s">
        <v>86</v>
      </c>
      <c r="G5" s="56" t="s">
        <v>256</v>
      </c>
    </row>
    <row r="6" customFormat="false" ht="15" hidden="false" customHeight="false" outlineLevel="0" collapsed="false">
      <c r="A6" s="58" t="s">
        <v>257</v>
      </c>
      <c r="B6" s="59" t="s">
        <v>258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6" t="s">
        <v>259</v>
      </c>
      <c r="G6" s="56" t="s">
        <v>260</v>
      </c>
    </row>
    <row r="7" customFormat="false" ht="15" hidden="false" customHeight="false" outlineLevel="0" collapsed="false">
      <c r="A7" s="58" t="s">
        <v>261</v>
      </c>
      <c r="B7" s="59" t="s">
        <v>258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6" t="s">
        <v>259</v>
      </c>
      <c r="G7" s="56" t="s">
        <v>262</v>
      </c>
    </row>
    <row r="8" customFormat="false" ht="15" hidden="false" customHeight="false" outlineLevel="0" collapsed="false">
      <c r="A8" s="58" t="s">
        <v>263</v>
      </c>
      <c r="B8" s="58" t="s">
        <v>264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6" t="s">
        <v>259</v>
      </c>
      <c r="G8" s="56" t="s">
        <v>265</v>
      </c>
    </row>
    <row r="9" customFormat="false" ht="15" hidden="false" customHeight="false" outlineLevel="0" collapsed="false">
      <c r="A9" s="59" t="s">
        <v>266</v>
      </c>
      <c r="B9" s="58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6" t="s">
        <v>259</v>
      </c>
      <c r="G9" s="56" t="s">
        <v>267</v>
      </c>
    </row>
    <row r="10" customFormat="false" ht="15" hidden="false" customHeight="false" outlineLevel="0" collapsed="false">
      <c r="A10" s="59" t="s">
        <v>268</v>
      </c>
      <c r="B10" s="58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6" t="s">
        <v>259</v>
      </c>
      <c r="G10" s="56" t="s">
        <v>269</v>
      </c>
    </row>
    <row r="11" customFormat="false" ht="15" hidden="false" customHeight="false" outlineLevel="0" collapsed="false">
      <c r="A11" s="59" t="s">
        <v>270</v>
      </c>
      <c r="B11" s="58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6" t="s">
        <v>259</v>
      </c>
      <c r="G11" s="56" t="s">
        <v>271</v>
      </c>
    </row>
    <row r="12" customFormat="false" ht="15" hidden="false" customHeight="false" outlineLevel="0" collapsed="false">
      <c r="A12" s="59" t="s">
        <v>272</v>
      </c>
      <c r="B12" s="58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6" t="s">
        <v>259</v>
      </c>
      <c r="G12" s="56"/>
    </row>
    <row r="13" customFormat="false" ht="15" hidden="false" customHeight="false" outlineLevel="0" collapsed="false">
      <c r="A13" s="58" t="s">
        <v>273</v>
      </c>
      <c r="B13" s="58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6" t="s">
        <v>259</v>
      </c>
      <c r="G13" s="56"/>
    </row>
    <row r="14" customFormat="false" ht="15" hidden="false" customHeight="false" outlineLevel="0" collapsed="false">
      <c r="A14" s="59" t="s">
        <v>274</v>
      </c>
      <c r="B14" s="58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6" t="s">
        <v>129</v>
      </c>
      <c r="G14" s="56"/>
    </row>
    <row r="15" customFormat="false" ht="15" hidden="false" customHeight="false" outlineLevel="0" collapsed="false">
      <c r="A15" s="59" t="s">
        <v>275</v>
      </c>
      <c r="B15" s="58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6" t="s">
        <v>259</v>
      </c>
      <c r="G15" s="56"/>
    </row>
    <row r="16" customFormat="false" ht="15" hidden="false" customHeight="false" outlineLevel="0" collapsed="false">
      <c r="A16" s="58" t="s">
        <v>276</v>
      </c>
      <c r="B16" s="59" t="s">
        <v>93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6" t="s">
        <v>259</v>
      </c>
      <c r="G16" s="56" t="s">
        <v>277</v>
      </c>
    </row>
    <row r="17" customFormat="false" ht="15" hidden="false" customHeight="false" outlineLevel="0" collapsed="false">
      <c r="A17" s="58" t="s">
        <v>278</v>
      </c>
      <c r="B17" s="59" t="s">
        <v>279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6" t="s">
        <v>141</v>
      </c>
      <c r="G17" s="56" t="s">
        <v>280</v>
      </c>
    </row>
    <row r="18" customFormat="false" ht="15" hidden="false" customHeight="false" outlineLevel="0" collapsed="false">
      <c r="A18" s="58" t="s">
        <v>281</v>
      </c>
      <c r="B18" s="59" t="s">
        <v>97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6" t="s">
        <v>129</v>
      </c>
      <c r="G18" s="56" t="s">
        <v>282</v>
      </c>
    </row>
    <row r="19" customFormat="false" ht="15" hidden="false" customHeight="false" outlineLevel="0" collapsed="false">
      <c r="A19" s="58" t="s">
        <v>283</v>
      </c>
      <c r="B19" s="59" t="s">
        <v>279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6" t="s">
        <v>129</v>
      </c>
      <c r="G19" s="56"/>
    </row>
    <row r="20" customFormat="false" ht="15" hidden="false" customHeight="false" outlineLevel="0" collapsed="false">
      <c r="A20" s="59" t="s">
        <v>284</v>
      </c>
      <c r="B20" s="58" t="s">
        <v>89</v>
      </c>
      <c r="E20" s="64" t="n">
        <v>2</v>
      </c>
      <c r="F20" s="56" t="s">
        <v>86</v>
      </c>
      <c r="G20" s="56" t="s">
        <v>285</v>
      </c>
    </row>
    <row r="21" customFormat="false" ht="15" hidden="false" customHeight="false" outlineLevel="0" collapsed="false">
      <c r="A21" s="59" t="s">
        <v>286</v>
      </c>
      <c r="B21" s="59" t="s">
        <v>258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6" t="s">
        <v>287</v>
      </c>
      <c r="G21" s="56" t="s">
        <v>288</v>
      </c>
    </row>
    <row r="22" customFormat="false" ht="15" hidden="false" customHeight="false" outlineLevel="0" collapsed="false">
      <c r="A22" s="59" t="s">
        <v>289</v>
      </c>
      <c r="B22" s="59" t="s">
        <v>258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6" t="s">
        <v>287</v>
      </c>
      <c r="G22" s="56" t="s">
        <v>290</v>
      </c>
    </row>
    <row r="23" customFormat="false" ht="15" hidden="false" customHeight="false" outlineLevel="0" collapsed="false">
      <c r="A23" s="59" t="s">
        <v>291</v>
      </c>
      <c r="B23" s="59" t="s">
        <v>258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6" t="s">
        <v>287</v>
      </c>
      <c r="G23" s="56" t="s">
        <v>292</v>
      </c>
    </row>
    <row r="24" customFormat="false" ht="15" hidden="false" customHeight="false" outlineLevel="0" collapsed="false">
      <c r="A24" s="66" t="s">
        <v>293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59" t="s">
        <v>294</v>
      </c>
      <c r="B25" s="59" t="s">
        <v>258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59" t="s">
        <v>295</v>
      </c>
      <c r="B26" s="59" t="s">
        <v>258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8" t="s">
        <v>296</v>
      </c>
      <c r="B27" s="59" t="s">
        <v>258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297</v>
      </c>
    </row>
    <row r="28" customFormat="false" ht="15" hidden="false" customHeight="false" outlineLevel="0" collapsed="false">
      <c r="A28" s="58" t="s">
        <v>298</v>
      </c>
      <c r="B28" s="59" t="s">
        <v>258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8" t="s">
        <v>299</v>
      </c>
      <c r="B29" s="59" t="s">
        <v>258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8" t="s">
        <v>300</v>
      </c>
      <c r="B30" s="59" t="s">
        <v>301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59" t="s">
        <v>302</v>
      </c>
      <c r="B31" s="59" t="s">
        <v>303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8" t="s">
        <v>304</v>
      </c>
      <c r="B32" s="59" t="s">
        <v>279</v>
      </c>
      <c r="C32" s="61" t="n">
        <v>128000</v>
      </c>
      <c r="F32" s="71" t="s">
        <v>305</v>
      </c>
      <c r="G32" s="71" t="s">
        <v>306</v>
      </c>
    </row>
    <row r="33" customFormat="false" ht="15" hidden="false" customHeight="false" outlineLevel="0" collapsed="false">
      <c r="A33" s="73" t="s">
        <v>307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8" t="s">
        <v>308</v>
      </c>
      <c r="B34" s="59" t="s">
        <v>258</v>
      </c>
      <c r="C34" s="61" t="n">
        <v>65</v>
      </c>
      <c r="D34" s="61" t="n">
        <v>65</v>
      </c>
      <c r="F34" s="56" t="s">
        <v>94</v>
      </c>
      <c r="G34" s="56" t="s">
        <v>309</v>
      </c>
    </row>
    <row r="35" customFormat="false" ht="15" hidden="false" customHeight="false" outlineLevel="0" collapsed="false">
      <c r="A35" s="59" t="s">
        <v>310</v>
      </c>
      <c r="B35" s="58" t="s">
        <v>311</v>
      </c>
      <c r="E35" s="61" t="n">
        <v>576</v>
      </c>
      <c r="F35" s="56" t="s">
        <v>98</v>
      </c>
      <c r="G35" s="71" t="s">
        <v>312</v>
      </c>
    </row>
    <row r="36" customFormat="false" ht="15" hidden="false" customHeight="false" outlineLevel="0" collapsed="false">
      <c r="A36" s="59" t="s">
        <v>313</v>
      </c>
      <c r="B36" s="59" t="s">
        <v>93</v>
      </c>
      <c r="E36" s="63" t="n">
        <v>0.26</v>
      </c>
      <c r="F36" s="56" t="s">
        <v>94</v>
      </c>
      <c r="G36" s="71" t="s">
        <v>314</v>
      </c>
    </row>
    <row r="37" customFormat="false" ht="15" hidden="false" customHeight="false" outlineLevel="0" collapsed="false">
      <c r="A37" s="59" t="s">
        <v>315</v>
      </c>
      <c r="B37" s="58" t="s">
        <v>316</v>
      </c>
      <c r="E37" s="61" t="n">
        <v>8</v>
      </c>
      <c r="F37" s="56" t="s">
        <v>94</v>
      </c>
      <c r="G37" s="56" t="s">
        <v>317</v>
      </c>
    </row>
    <row r="38" customFormat="false" ht="15" hidden="false" customHeight="false" outlineLevel="0" collapsed="false">
      <c r="A38" s="59" t="s">
        <v>318</v>
      </c>
      <c r="B38" s="59" t="s">
        <v>258</v>
      </c>
      <c r="C38" s="60" t="n">
        <f aca="false">SRC_HW_055</f>
        <v>1</v>
      </c>
      <c r="F38" s="71" t="s">
        <v>319</v>
      </c>
      <c r="G38" s="56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5" t="s">
        <v>321</v>
      </c>
    </row>
    <row r="2" customFormat="false" ht="15" hidden="false" customHeight="false" outlineLevel="0" collapsed="false">
      <c r="A2" s="71" t="s">
        <v>322</v>
      </c>
    </row>
    <row r="4" customFormat="false" ht="15" hidden="false" customHeight="false" outlineLevel="0" collapsed="false">
      <c r="A4" s="57" t="s">
        <v>323</v>
      </c>
      <c r="B4" s="57" t="s">
        <v>77</v>
      </c>
      <c r="C4" s="57" t="s">
        <v>324</v>
      </c>
      <c r="D4" s="57" t="s">
        <v>81</v>
      </c>
      <c r="E4" s="57"/>
      <c r="F4" s="57" t="s">
        <v>325</v>
      </c>
    </row>
    <row r="5" customFormat="false" ht="15" hidden="false" customHeight="false" outlineLevel="0" collapsed="false">
      <c r="A5" s="58" t="s">
        <v>326</v>
      </c>
      <c r="B5" s="58"/>
      <c r="C5" s="58" t="s">
        <v>327</v>
      </c>
      <c r="D5" s="56" t="s">
        <v>86</v>
      </c>
      <c r="F5" s="56" t="s">
        <v>328</v>
      </c>
    </row>
    <row r="6" customFormat="false" ht="15" hidden="false" customHeight="false" outlineLevel="0" collapsed="false">
      <c r="A6" s="59" t="s">
        <v>329</v>
      </c>
      <c r="B6" s="59" t="s">
        <v>279</v>
      </c>
      <c r="C6" s="64" t="n">
        <v>3</v>
      </c>
      <c r="D6" s="56" t="s">
        <v>98</v>
      </c>
      <c r="F6" s="56" t="s">
        <v>330</v>
      </c>
    </row>
    <row r="7" customFormat="false" ht="15" hidden="false" customHeight="false" outlineLevel="0" collapsed="false">
      <c r="A7" s="58" t="s">
        <v>331</v>
      </c>
      <c r="B7" s="59" t="s">
        <v>93</v>
      </c>
      <c r="C7" s="62" t="n">
        <f aca="false">SRC_PERF_005</f>
        <v>0.7</v>
      </c>
      <c r="D7" s="56" t="s">
        <v>332</v>
      </c>
      <c r="F7" s="56" t="s">
        <v>333</v>
      </c>
    </row>
    <row r="8" customFormat="false" ht="15" hidden="false" customHeight="false" outlineLevel="0" collapsed="false">
      <c r="A8" s="58" t="s">
        <v>334</v>
      </c>
      <c r="B8" s="59" t="s">
        <v>279</v>
      </c>
      <c r="C8" s="74" t="n">
        <f aca="false">(1-C7^(C6+1))/(1-C7)</f>
        <v>2.533</v>
      </c>
      <c r="D8" s="56" t="s">
        <v>141</v>
      </c>
      <c r="F8" s="56" t="s">
        <v>335</v>
      </c>
    </row>
    <row r="9" customFormat="false" ht="15" hidden="false" customHeight="false" outlineLevel="0" collapsed="false">
      <c r="A9" s="59" t="s">
        <v>336</v>
      </c>
      <c r="B9" s="59" t="s">
        <v>93</v>
      </c>
      <c r="C9" s="63" t="n">
        <v>0.1</v>
      </c>
      <c r="D9" s="56" t="s">
        <v>94</v>
      </c>
      <c r="F9" s="71" t="s">
        <v>337</v>
      </c>
    </row>
    <row r="10" customFormat="false" ht="15" hidden="false" customHeight="false" outlineLevel="0" collapsed="false">
      <c r="A10" s="58" t="s">
        <v>338</v>
      </c>
      <c r="B10" s="59" t="s">
        <v>93</v>
      </c>
      <c r="C10" s="63" t="n">
        <v>0.2</v>
      </c>
      <c r="D10" s="56" t="s">
        <v>94</v>
      </c>
      <c r="F10" s="71" t="s">
        <v>339</v>
      </c>
    </row>
    <row r="11" customFormat="false" ht="15" hidden="false" customHeight="false" outlineLevel="0" collapsed="false">
      <c r="A11" s="58" t="s">
        <v>340</v>
      </c>
      <c r="B11" s="59" t="s">
        <v>93</v>
      </c>
      <c r="C11" s="63" t="n">
        <v>0.4</v>
      </c>
      <c r="D11" s="56" t="s">
        <v>94</v>
      </c>
      <c r="F11" s="71" t="s">
        <v>341</v>
      </c>
    </row>
    <row r="12" customFormat="false" ht="15" hidden="false" customHeight="false" outlineLevel="0" collapsed="false">
      <c r="A12" s="59" t="s">
        <v>342</v>
      </c>
      <c r="B12" s="59" t="s">
        <v>258</v>
      </c>
      <c r="C12" s="75" t="n">
        <v>3</v>
      </c>
      <c r="D12" s="56" t="s">
        <v>98</v>
      </c>
      <c r="F12" s="56" t="s">
        <v>343</v>
      </c>
    </row>
    <row r="13" customFormat="false" ht="15" hidden="false" customHeight="false" outlineLevel="0" collapsed="false">
      <c r="A13" s="59" t="s">
        <v>344</v>
      </c>
      <c r="B13" s="59" t="s">
        <v>93</v>
      </c>
      <c r="C13" s="63" t="n">
        <v>0.7</v>
      </c>
      <c r="D13" s="56" t="s">
        <v>98</v>
      </c>
      <c r="F13" s="71" t="s">
        <v>345</v>
      </c>
    </row>
    <row r="14" customFormat="false" ht="15" hidden="false" customHeight="false" outlineLevel="0" collapsed="false">
      <c r="A14" s="59" t="s">
        <v>346</v>
      </c>
      <c r="B14" s="59" t="s">
        <v>93</v>
      </c>
      <c r="C14" s="63" t="n">
        <v>0.7</v>
      </c>
      <c r="D14" s="56" t="s">
        <v>98</v>
      </c>
      <c r="F14" s="71" t="s">
        <v>345</v>
      </c>
    </row>
    <row r="15" customFormat="false" ht="15" hidden="false" customHeight="false" outlineLevel="0" collapsed="false">
      <c r="A15" s="58" t="s">
        <v>347</v>
      </c>
      <c r="B15" s="59" t="s">
        <v>348</v>
      </c>
      <c r="C15" s="76" t="n">
        <v>0.1</v>
      </c>
      <c r="D15" s="56" t="s">
        <v>94</v>
      </c>
      <c r="F15" s="71" t="s">
        <v>349</v>
      </c>
    </row>
    <row r="16" customFormat="false" ht="15" hidden="false" customHeight="false" outlineLevel="0" collapsed="false">
      <c r="A16" s="58" t="s">
        <v>350</v>
      </c>
      <c r="B16" s="58" t="s">
        <v>89</v>
      </c>
      <c r="C16" s="64" t="n">
        <v>1</v>
      </c>
      <c r="D16" s="56" t="s">
        <v>86</v>
      </c>
      <c r="F16" s="56" t="s">
        <v>351</v>
      </c>
    </row>
    <row r="17" customFormat="false" ht="15" hidden="false" customHeight="false" outlineLevel="0" collapsed="false">
      <c r="A17" s="58" t="s">
        <v>352</v>
      </c>
      <c r="B17" s="59" t="s">
        <v>93</v>
      </c>
      <c r="C17" s="77" t="n">
        <v>0.6</v>
      </c>
      <c r="D17" s="56" t="s">
        <v>94</v>
      </c>
      <c r="F17" s="56" t="s">
        <v>353</v>
      </c>
    </row>
    <row r="18" customFormat="false" ht="15" hidden="false" customHeight="false" outlineLevel="0" collapsed="false">
      <c r="A18" s="58" t="s">
        <v>354</v>
      </c>
      <c r="B18" s="59" t="s">
        <v>97</v>
      </c>
      <c r="C18" s="78" t="n">
        <v>1</v>
      </c>
      <c r="D18" s="56" t="s">
        <v>94</v>
      </c>
      <c r="F18" s="71" t="s">
        <v>355</v>
      </c>
    </row>
    <row r="19" customFormat="false" ht="15" hidden="false" customHeight="false" outlineLevel="0" collapsed="false">
      <c r="A19" s="66" t="s">
        <v>356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57" t="s">
        <v>357</v>
      </c>
      <c r="B20" s="57" t="s">
        <v>77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57" t="s">
        <v>325</v>
      </c>
    </row>
    <row r="21" customFormat="false" ht="15" hidden="false" customHeight="false" outlineLevel="0" collapsed="false">
      <c r="A21" s="59" t="s">
        <v>358</v>
      </c>
      <c r="B21" s="59" t="s">
        <v>359</v>
      </c>
      <c r="C21" s="60" t="n">
        <f aca="false">SRC_PERF_018</f>
        <v>120</v>
      </c>
      <c r="D21" s="80" t="n">
        <v>65</v>
      </c>
      <c r="E21" s="80" t="n">
        <v>55</v>
      </c>
      <c r="F21" s="56" t="s">
        <v>360</v>
      </c>
    </row>
    <row r="22" customFormat="false" ht="15" hidden="false" customHeight="false" outlineLevel="0" collapsed="false">
      <c r="A22" s="59" t="s">
        <v>361</v>
      </c>
      <c r="B22" s="59" t="s">
        <v>362</v>
      </c>
      <c r="C22" s="75" t="n">
        <v>2</v>
      </c>
      <c r="D22" s="75" t="n">
        <v>3</v>
      </c>
      <c r="E22" s="75" t="n">
        <v>5</v>
      </c>
      <c r="F22" s="56" t="s">
        <v>94</v>
      </c>
    </row>
    <row r="23" customFormat="false" ht="15" hidden="false" customHeight="false" outlineLevel="0" collapsed="false">
      <c r="A23" s="58" t="s">
        <v>363</v>
      </c>
      <c r="B23" s="59" t="s">
        <v>279</v>
      </c>
      <c r="C23" s="61" t="n">
        <v>8192</v>
      </c>
      <c r="D23" s="61" t="n">
        <v>16384</v>
      </c>
      <c r="E23" s="61" t="n">
        <v>32768</v>
      </c>
      <c r="F23" s="56" t="s">
        <v>364</v>
      </c>
    </row>
    <row r="24" customFormat="false" ht="15" hidden="false" customHeight="false" outlineLevel="0" collapsed="false">
      <c r="A24" s="58" t="s">
        <v>365</v>
      </c>
      <c r="B24" s="59" t="s">
        <v>279</v>
      </c>
      <c r="C24" s="61" t="n">
        <v>1024</v>
      </c>
      <c r="D24" s="61" t="n">
        <v>2048</v>
      </c>
      <c r="E24" s="61" t="n">
        <v>4096</v>
      </c>
      <c r="F24" s="56" t="s">
        <v>94</v>
      </c>
    </row>
    <row r="25" customFormat="false" ht="15" hidden="false" customHeight="false" outlineLevel="0" collapsed="false">
      <c r="A25" s="59" t="s">
        <v>366</v>
      </c>
      <c r="B25" s="59" t="s">
        <v>279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6" t="s">
        <v>141</v>
      </c>
    </row>
    <row r="26" customFormat="false" ht="15" hidden="false" customHeight="false" outlineLevel="0" collapsed="false">
      <c r="A26" s="59" t="s">
        <v>367</v>
      </c>
      <c r="B26" s="59" t="s">
        <v>279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6" t="s">
        <v>141</v>
      </c>
    </row>
    <row r="28" customFormat="false" ht="15" hidden="false" customHeight="false" outlineLevel="0" collapsed="false">
      <c r="A28" s="58" t="s">
        <v>368</v>
      </c>
      <c r="B28" s="59" t="s">
        <v>97</v>
      </c>
      <c r="C28" s="78" t="n">
        <v>0.85</v>
      </c>
      <c r="D28" s="71" t="s">
        <v>369</v>
      </c>
      <c r="F28" s="56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5" t="s">
        <v>371</v>
      </c>
    </row>
    <row r="2" customFormat="false" ht="15" hidden="false" customHeight="false" outlineLevel="0" collapsed="false">
      <c r="A2" s="71" t="s">
        <v>372</v>
      </c>
    </row>
    <row r="4" customFormat="false" ht="30" hidden="false" customHeight="true" outlineLevel="0" collapsed="false">
      <c r="A4" s="57" t="s">
        <v>76</v>
      </c>
      <c r="B4" s="57" t="s">
        <v>77</v>
      </c>
      <c r="C4" s="81" t="s">
        <v>373</v>
      </c>
      <c r="D4" s="81" t="s">
        <v>374</v>
      </c>
      <c r="E4" s="81" t="s">
        <v>375</v>
      </c>
      <c r="F4" s="81" t="s">
        <v>376</v>
      </c>
      <c r="G4" s="82" t="s">
        <v>377</v>
      </c>
      <c r="H4" s="57" t="s">
        <v>325</v>
      </c>
    </row>
    <row r="5" customFormat="false" ht="15" hidden="false" customHeight="false" outlineLevel="0" collapsed="false">
      <c r="A5" s="58" t="s">
        <v>378</v>
      </c>
      <c r="B5" s="58" t="s">
        <v>379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6" t="s">
        <v>380</v>
      </c>
    </row>
    <row r="6" customFormat="false" ht="15" hidden="false" customHeight="false" outlineLevel="0" collapsed="false">
      <c r="A6" s="58" t="s">
        <v>381</v>
      </c>
      <c r="B6" s="59" t="s">
        <v>279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6" t="s">
        <v>94</v>
      </c>
    </row>
    <row r="7" customFormat="false" ht="15" hidden="false" customHeight="false" outlineLevel="0" collapsed="false">
      <c r="A7" s="58" t="s">
        <v>382</v>
      </c>
      <c r="B7" s="59" t="s">
        <v>279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6" t="s">
        <v>94</v>
      </c>
    </row>
    <row r="8" customFormat="false" ht="15" hidden="false" customHeight="false" outlineLevel="0" collapsed="false">
      <c r="A8" s="58" t="s">
        <v>383</v>
      </c>
      <c r="B8" s="59" t="s">
        <v>279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6" t="s">
        <v>384</v>
      </c>
    </row>
    <row r="9" customFormat="false" ht="15" hidden="false" customHeight="false" outlineLevel="0" collapsed="false">
      <c r="A9" s="58" t="s">
        <v>385</v>
      </c>
      <c r="B9" s="59" t="s">
        <v>279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6" t="s">
        <v>94</v>
      </c>
    </row>
    <row r="10" customFormat="false" ht="15" hidden="false" customHeight="false" outlineLevel="0" collapsed="false">
      <c r="A10" s="58" t="s">
        <v>386</v>
      </c>
      <c r="B10" s="59" t="s">
        <v>93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6" t="s">
        <v>387</v>
      </c>
    </row>
    <row r="11" customFormat="false" ht="15" hidden="false" customHeight="false" outlineLevel="0" collapsed="false">
      <c r="A11" s="58" t="s">
        <v>388</v>
      </c>
      <c r="B11" s="59" t="s">
        <v>93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6" t="s">
        <v>389</v>
      </c>
    </row>
    <row r="12" customFormat="false" ht="15" hidden="false" customHeight="false" outlineLevel="0" collapsed="false">
      <c r="A12" s="58" t="s">
        <v>390</v>
      </c>
      <c r="B12" s="58" t="s">
        <v>316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6" t="s">
        <v>391</v>
      </c>
    </row>
    <row r="13" customFormat="false" ht="15" hidden="false" customHeight="false" outlineLevel="0" collapsed="false">
      <c r="A13" s="59" t="s">
        <v>392</v>
      </c>
      <c r="B13" s="59" t="s">
        <v>97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6" t="s">
        <v>393</v>
      </c>
    </row>
    <row r="14" customFormat="false" ht="15" hidden="false" customHeight="false" outlineLevel="0" collapsed="false">
      <c r="A14" s="58" t="s">
        <v>394</v>
      </c>
      <c r="B14" s="59" t="s">
        <v>97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395</v>
      </c>
    </row>
    <row r="16" customFormat="false" ht="15" hidden="false" customHeight="false" outlineLevel="0" collapsed="false">
      <c r="A16" s="66" t="s">
        <v>396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59" t="s">
        <v>397</v>
      </c>
      <c r="B17" s="59" t="s">
        <v>97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8" t="s">
        <v>398</v>
      </c>
      <c r="B18" s="58" t="s">
        <v>379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8" t="s">
        <v>399</v>
      </c>
      <c r="B19" s="59" t="s">
        <v>279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8" t="s">
        <v>400</v>
      </c>
      <c r="B20" s="59" t="s">
        <v>93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8" t="s">
        <v>401</v>
      </c>
      <c r="B21" s="59" t="s">
        <v>93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402</v>
      </c>
      <c r="B22" s="58" t="s">
        <v>316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8" t="s">
        <v>403</v>
      </c>
      <c r="B23" s="59" t="s">
        <v>97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404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8" t="s">
        <v>405</v>
      </c>
      <c r="B26" s="59" t="s">
        <v>279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8" t="s">
        <v>406</v>
      </c>
      <c r="B27" s="59" t="s">
        <v>279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8" t="s">
        <v>407</v>
      </c>
      <c r="B28" s="59" t="s">
        <v>279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8" t="s">
        <v>408</v>
      </c>
      <c r="B29" s="59" t="s">
        <v>279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8" t="s">
        <v>409</v>
      </c>
      <c r="B30" s="59" t="s">
        <v>279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8" t="s">
        <v>410</v>
      </c>
      <c r="B31" s="59" t="s">
        <v>97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8" t="s">
        <v>411</v>
      </c>
      <c r="B32" s="59" t="s">
        <v>279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8" t="s">
        <v>412</v>
      </c>
      <c r="B33" s="59" t="s">
        <v>279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8" t="s">
        <v>413</v>
      </c>
      <c r="B34" s="59" t="s">
        <v>279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8" t="s">
        <v>414</v>
      </c>
      <c r="B35" s="59" t="s">
        <v>279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59" t="s">
        <v>366</v>
      </c>
      <c r="B36" s="59" t="s">
        <v>279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415</v>
      </c>
    </row>
    <row r="37" customFormat="false" ht="15" hidden="false" customHeight="false" outlineLevel="0" collapsed="false">
      <c r="A37" s="58" t="s">
        <v>416</v>
      </c>
      <c r="B37" s="59" t="s">
        <v>93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8" t="s">
        <v>417</v>
      </c>
      <c r="B38" s="59" t="s">
        <v>97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8" t="s">
        <v>418</v>
      </c>
      <c r="B39" s="59" t="s">
        <v>97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8" t="s">
        <v>419</v>
      </c>
      <c r="B40" s="59" t="s">
        <v>97</v>
      </c>
      <c r="C40" s="64" t="n">
        <v>1</v>
      </c>
      <c r="E40" s="87" t="n">
        <f aca="false">SRC_HAR_001</f>
        <v>4</v>
      </c>
      <c r="F40" s="87" t="n">
        <f aca="false">SRC_HAR_002</f>
        <v>15</v>
      </c>
      <c r="H40" s="85" t="s">
        <v>420</v>
      </c>
    </row>
    <row r="42" customFormat="false" ht="15" hidden="false" customHeight="false" outlineLevel="0" collapsed="false">
      <c r="A42" s="66" t="s">
        <v>421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59" t="s">
        <v>422</v>
      </c>
      <c r="B43" s="59" t="s">
        <v>423</v>
      </c>
      <c r="C43" s="88" t="n">
        <f aca="false">IF(ISNUMBER(Unit_Cost!M21),(C32*Unit_Cost!M19+C33*Unit_Cost!M20+C34*Unit_Cost!M21)/1000000,"SLO 不可達")</f>
        <v>9.8538689173237E-005</v>
      </c>
      <c r="D43" s="88" t="n">
        <f aca="false">IF(ISNUMBER(Unit_Cost!M21),(D32*Unit_Cost!M19+D33*Unit_Cost!M20+D34*Unit_Cost!M21)/1000000,"SLO 不可達")</f>
        <v>0.000651320665503275</v>
      </c>
      <c r="E43" s="88" t="n">
        <f aca="false">IF(ISNUMBER(Unit_Cost!M21),(E32*Unit_Cost!M19+E33*Unit_Cost!M20+E34*Unit_Cost!M21)/1000000,"SLO 不可達")</f>
        <v>0.000470919960787972</v>
      </c>
      <c r="F43" s="88" t="n">
        <f aca="false">IF(ISNUMBER(Unit_Cost!M21),(F32*Unit_Cost!M19+F33*Unit_Cost!M20+F34*Unit_Cost!M21)/1000000,"SLO 不可達")</f>
        <v>0.00188367984315189</v>
      </c>
      <c r="G43" s="88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59" t="s">
        <v>424</v>
      </c>
      <c r="B44" s="59" t="s">
        <v>423</v>
      </c>
      <c r="C44" s="89" t="n">
        <f aca="false">IF(ISNUMBER(Unit_Cost!M34),(C32*Unit_Cost!M32+C33*Unit_Cost!M33+C34*Unit_Cost!M34)/1000000,"SLO 不可達")</f>
        <v>0.00031648037535442</v>
      </c>
      <c r="D44" s="89" t="n">
        <f aca="false">IF(ISNUMBER(Unit_Cost!M34),(D32*Unit_Cost!M32+D33*Unit_Cost!M33+D34*Unit_Cost!M34)/1000000,"SLO 不可達")</f>
        <v>0.00207251237042349</v>
      </c>
      <c r="E44" s="89" t="n">
        <f aca="false">IF(ISNUMBER(Unit_Cost!M34),(E32*Unit_Cost!M32+E33*Unit_Cost!M33+E34*Unit_Cost!M34)/1000000,"SLO 不可達")</f>
        <v>0.00151021350344947</v>
      </c>
      <c r="F44" s="89" t="n">
        <f aca="false">IF(ISNUMBER(Unit_Cost!M34),(F32*Unit_Cost!M32+F33*Unit_Cost!M33+F34*Unit_Cost!M34)/1000000,"SLO 不可達")</f>
        <v>0.00604085401379789</v>
      </c>
      <c r="G44" s="89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59" t="s">
        <v>425</v>
      </c>
      <c r="B45" s="59" t="s">
        <v>423</v>
      </c>
      <c r="C45" s="88" t="n">
        <f aca="false">IF(ISNUMBER(Unit_Cost!M47),(C32*Unit_Cost!M45+C33*Unit_Cost!M46+C34*Unit_Cost!M47)/1000000,"SLO 不可達")</f>
        <v>0.00156094879295085</v>
      </c>
      <c r="D45" s="88" t="n">
        <f aca="false">IF(ISNUMBER(Unit_Cost!M47),(D32*Unit_Cost!M45+D33*Unit_Cost!M46+D34*Unit_Cost!M47)/1000000,"SLO 不可達")</f>
        <v>0.0106508590102868</v>
      </c>
      <c r="E45" s="88" t="n">
        <f aca="false">IF(ISNUMBER(Unit_Cost!M47),(E32*Unit_Cost!M45+E33*Unit_Cost!M46+E34*Unit_Cost!M47)/1000000,"SLO 不可達")</f>
        <v>0.00747640196765662</v>
      </c>
      <c r="F45" s="88" t="n">
        <f aca="false">IF(ISNUMBER(Unit_Cost!M47),(F32*Unit_Cost!M45+F33*Unit_Cost!M46+F34*Unit_Cost!M47)/1000000,"SLO 不可達")</f>
        <v>0.0299056078706265</v>
      </c>
      <c r="G45" s="88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59" t="s">
        <v>426</v>
      </c>
      <c r="B46" s="59" t="s">
        <v>423</v>
      </c>
      <c r="C46" s="88" t="n">
        <f aca="false">IF(ISNUMBER(Unit_Cost!J21),(C32*Unit_Cost!J19+C33*Unit_Cost!J20+C34*Unit_Cost!J21)/1000000,"SLO 不可達")</f>
        <v>0.000129712932742897</v>
      </c>
      <c r="D46" s="88" t="n">
        <f aca="false">IF(ISNUMBER(Unit_Cost!J21),(D32*Unit_Cost!J19+D33*Unit_Cost!J20+D34*Unit_Cost!J21)/1000000,"SLO 不可達")</f>
        <v>0.000863238771035986</v>
      </c>
      <c r="E46" s="88" t="n">
        <f aca="false">IF(ISNUMBER(Unit_Cost!J21),(E32*Unit_Cost!J19+E33*Unit_Cost!J20+E34*Unit_Cost!J21)/1000000,"SLO 不可達")</f>
        <v>0.000619453863540048</v>
      </c>
      <c r="F46" s="88" t="n">
        <f aca="false">IF(ISNUMBER(Unit_Cost!J21),(F32*Unit_Cost!J19+F33*Unit_Cost!J20+F34*Unit_Cost!J21)/1000000,"SLO 不可達")</f>
        <v>0.00247781545416019</v>
      </c>
      <c r="G46" s="88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59" t="s">
        <v>427</v>
      </c>
      <c r="B47" s="59" t="s">
        <v>423</v>
      </c>
      <c r="C47" s="89" t="n">
        <f aca="false">IF(ISNUMBER(Unit_Cost!J34),(C32*Unit_Cost!J32+C33*Unit_Cost!J33+C34*Unit_Cost!J34)/1000000,"SLO 不可達")</f>
        <v>0.00045149057977531</v>
      </c>
      <c r="D47" s="89" t="n">
        <f aca="false">IF(ISNUMBER(Unit_Cost!J34),(D32*Unit_Cost!J32+D33*Unit_Cost!J33+D34*Unit_Cost!J34)/1000000,"SLO 不可達")</f>
        <v>0.00300605731345547</v>
      </c>
      <c r="E47" s="89" t="n">
        <f aca="false">IF(ISNUMBER(Unit_Cost!J34),(E32*Unit_Cost!J32+E33*Unit_Cost!J33+E34*Unit_Cost!J34)/1000000,"SLO 不可達")</f>
        <v>0.00215523971370896</v>
      </c>
      <c r="F47" s="89" t="n">
        <f aca="false">IF(ISNUMBER(Unit_Cost!J34),(F32*Unit_Cost!J32+F33*Unit_Cost!J33+F34*Unit_Cost!J34)/1000000,"SLO 不可達")</f>
        <v>0.00862095885483583</v>
      </c>
      <c r="G47" s="89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59" t="s">
        <v>428</v>
      </c>
      <c r="B48" s="59" t="s">
        <v>423</v>
      </c>
      <c r="C48" s="88" t="n">
        <f aca="false">IF(ISNUMBER(Unit_Cost!J47),(C32*Unit_Cost!J45+C33*Unit_Cost!J46+C34*Unit_Cost!J47)/1000000,"SLO 不可達")</f>
        <v>0.00308067082073616</v>
      </c>
      <c r="D48" s="88" t="n">
        <f aca="false">IF(ISNUMBER(Unit_Cost!J47),(D32*Unit_Cost!J45+D33*Unit_Cost!J46+D34*Unit_Cost!J47)/1000000,"SLO 不可達")</f>
        <v>0.0216823466796112</v>
      </c>
      <c r="E48" s="88" t="n">
        <f aca="false">IF(ISNUMBER(Unit_Cost!J47),(E32*Unit_Cost!J45+E33*Unit_Cost!J46+E34*Unit_Cost!J47)/1000000,"SLO 不可達")</f>
        <v>0.0147548123656816</v>
      </c>
      <c r="F48" s="88" t="n">
        <f aca="false">IF(ISNUMBER(Unit_Cost!J47),(F32*Unit_Cost!J45+F33*Unit_Cost!J46+F34*Unit_Cost!J47)/1000000,"SLO 不可達")</f>
        <v>0.0590192494627266</v>
      </c>
      <c r="G48" s="88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5" t="s">
        <v>429</v>
      </c>
    </row>
    <row r="2" customFormat="false" ht="15" hidden="false" customHeight="false" outlineLevel="0" collapsed="false">
      <c r="A2" s="71" t="s">
        <v>430</v>
      </c>
    </row>
    <row r="4" customFormat="false" ht="15" hidden="false" customHeight="false" outlineLevel="0" collapsed="false">
      <c r="A4" s="73" t="s">
        <v>431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59" t="s">
        <v>432</v>
      </c>
      <c r="B5" s="59" t="s">
        <v>93</v>
      </c>
      <c r="C5" s="63" t="n">
        <v>0.3</v>
      </c>
      <c r="J5" s="56" t="s">
        <v>433</v>
      </c>
    </row>
    <row r="7" customFormat="false" ht="15" hidden="false" customHeight="false" outlineLevel="0" collapsed="false">
      <c r="A7" s="73" t="s">
        <v>434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57" t="s">
        <v>357</v>
      </c>
      <c r="B8" s="57" t="s">
        <v>77</v>
      </c>
    </row>
    <row r="9" customFormat="false" ht="15" hidden="false" customHeight="false" outlineLevel="0" collapsed="false">
      <c r="A9" s="58" t="s">
        <v>2</v>
      </c>
      <c r="B9" s="58"/>
      <c r="C9" s="57" t="s">
        <v>435</v>
      </c>
      <c r="D9" s="57" t="s">
        <v>436</v>
      </c>
      <c r="E9" s="57" t="s">
        <v>437</v>
      </c>
      <c r="F9" s="57" t="s">
        <v>438</v>
      </c>
      <c r="G9" s="57" t="s">
        <v>438</v>
      </c>
      <c r="H9" s="57" t="s">
        <v>439</v>
      </c>
      <c r="I9" s="57" t="s">
        <v>439</v>
      </c>
    </row>
    <row r="10" customFormat="false" ht="15" hidden="false" customHeight="false" outlineLevel="0" collapsed="false">
      <c r="A10" s="58" t="s">
        <v>440</v>
      </c>
      <c r="B10" s="58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8" t="s">
        <v>165</v>
      </c>
      <c r="B11" s="58"/>
      <c r="C11" s="90" t="str">
        <f aca="false">INDEX(Spec_Rack!$C$4:$G$4,C10)</f>
        <v>GB300 NVL72</v>
      </c>
      <c r="D11" s="90" t="str">
        <f aca="false">INDEX(Spec_Rack!$C$4:$G$4,D10)</f>
        <v>GB300 NVL72</v>
      </c>
      <c r="E11" s="90" t="str">
        <f aca="false">INDEX(Spec_Rack!$C$4:$G$4,E10)</f>
        <v>GB300 NVL72</v>
      </c>
      <c r="F11" s="90" t="str">
        <f aca="false">INDEX(Spec_Rack!$C$4:$G$4,F10)</f>
        <v>GB300 NVL72</v>
      </c>
      <c r="G11" s="90" t="str">
        <f aca="false">INDEX(Spec_Rack!$C$4:$G$4,G10)</f>
        <v>GB200 NVL72</v>
      </c>
      <c r="H11" s="90" t="str">
        <f aca="false">INDEX(Spec_Rack!$C$4:$G$4,H10)</f>
        <v>GB200 NVL72</v>
      </c>
      <c r="I11" s="90" t="str">
        <f aca="false">INDEX(Spec_Rack!$C$4:$G$4,I10)</f>
        <v>GB300 NVL72</v>
      </c>
    </row>
    <row r="12" customFormat="false" ht="30" hidden="false" customHeight="true" outlineLevel="0" collapsed="false">
      <c r="A12" s="58" t="s">
        <v>441</v>
      </c>
      <c r="B12" s="58"/>
      <c r="C12" s="85" t="s">
        <v>442</v>
      </c>
      <c r="D12" s="85" t="s">
        <v>442</v>
      </c>
      <c r="E12" s="85" t="s">
        <v>443</v>
      </c>
      <c r="F12" s="85" t="s">
        <v>444</v>
      </c>
      <c r="G12" s="85" t="s">
        <v>444</v>
      </c>
      <c r="H12" s="85" t="s">
        <v>445</v>
      </c>
      <c r="I12" s="85" t="s">
        <v>445</v>
      </c>
    </row>
    <row r="13" customFormat="false" ht="15" hidden="false" customHeight="false" outlineLevel="0" collapsed="false">
      <c r="A13" s="59" t="s">
        <v>446</v>
      </c>
      <c r="B13" s="58"/>
      <c r="C13" s="87" t="n">
        <f aca="false">SRC_PERF_009_MTP</f>
        <v>1</v>
      </c>
      <c r="D13" s="87" t="n">
        <f aca="false">SRC_PERF_010_MTP</f>
        <v>1</v>
      </c>
      <c r="E13" s="87" t="n">
        <f aca="false">SRC_PERF_004_MTP</f>
        <v>1</v>
      </c>
      <c r="F13" s="87" t="n">
        <f aca="false">SRC_PERF_001_MTP</f>
        <v>0</v>
      </c>
      <c r="G13" s="87" t="n">
        <f aca="false">SRC_PERF_002_MTP</f>
        <v>0</v>
      </c>
      <c r="H13" s="87" t="n">
        <f aca="false">SRC_PERF_014_MTP</f>
        <v>1</v>
      </c>
      <c r="I13" s="87" t="n">
        <f aca="false">SRC_PERF_015_MTP</f>
        <v>1</v>
      </c>
    </row>
    <row r="14" customFormat="false" ht="15" hidden="false" customHeight="false" outlineLevel="0" collapsed="false">
      <c r="A14" s="58" t="s">
        <v>447</v>
      </c>
      <c r="B14" s="59" t="s">
        <v>359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59" t="s">
        <v>448</v>
      </c>
      <c r="B15" s="59" t="s">
        <v>279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59" t="s">
        <v>449</v>
      </c>
      <c r="B16" s="59" t="s">
        <v>279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8" t="s">
        <v>450</v>
      </c>
      <c r="B17" s="59" t="s">
        <v>359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8" t="s">
        <v>451</v>
      </c>
      <c r="B18" s="58"/>
      <c r="C18" s="56" t="s">
        <v>452</v>
      </c>
      <c r="D18" s="56" t="s">
        <v>452</v>
      </c>
      <c r="E18" s="56" t="s">
        <v>453</v>
      </c>
      <c r="F18" s="56" t="s">
        <v>454</v>
      </c>
      <c r="G18" s="56" t="s">
        <v>454</v>
      </c>
      <c r="H18" s="56" t="s">
        <v>455</v>
      </c>
      <c r="I18" s="56" t="s">
        <v>455</v>
      </c>
    </row>
    <row r="19" customFormat="false" ht="26.85" hidden="false" customHeight="false" outlineLevel="0" collapsed="false">
      <c r="A19" s="58" t="s">
        <v>456</v>
      </c>
      <c r="B19" s="58"/>
      <c r="C19" s="85" t="s">
        <v>457</v>
      </c>
      <c r="D19" s="85" t="s">
        <v>457</v>
      </c>
      <c r="E19" s="85" t="s">
        <v>457</v>
      </c>
      <c r="F19" s="85" t="s">
        <v>457</v>
      </c>
      <c r="G19" s="85" t="s">
        <v>457</v>
      </c>
      <c r="H19" s="85" t="s">
        <v>457</v>
      </c>
      <c r="I19" s="85" t="s">
        <v>457</v>
      </c>
      <c r="J19" s="91" t="s">
        <v>458</v>
      </c>
    </row>
    <row r="20" customFormat="false" ht="30" hidden="false" customHeight="true" outlineLevel="0" collapsed="false">
      <c r="A20" s="58" t="s">
        <v>459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460</v>
      </c>
      <c r="B21" s="58"/>
      <c r="C21" s="91" t="s">
        <v>461</v>
      </c>
      <c r="D21" s="91" t="s">
        <v>461</v>
      </c>
      <c r="E21" s="91" t="s">
        <v>461</v>
      </c>
      <c r="F21" s="91" t="s">
        <v>461</v>
      </c>
      <c r="G21" s="91" t="s">
        <v>461</v>
      </c>
      <c r="H21" s="91" t="s">
        <v>461</v>
      </c>
      <c r="I21" s="91" t="s">
        <v>461</v>
      </c>
    </row>
    <row r="22" customFormat="false" ht="15" hidden="false" customHeight="false" outlineLevel="0" collapsed="false">
      <c r="A22" s="73" t="s">
        <v>462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8" t="s">
        <v>463</v>
      </c>
      <c r="B23" s="59" t="s">
        <v>464</v>
      </c>
      <c r="C23" s="92" t="n">
        <f aca="false">INDEX(Spec_Rack!$C$35:$G$35,C10)</f>
        <v>15</v>
      </c>
      <c r="D23" s="92" t="n">
        <f aca="false">INDEX(Spec_Rack!$C$35:$G$35,D10)</f>
        <v>15</v>
      </c>
      <c r="E23" s="92" t="n">
        <f aca="false">INDEX(Spec_Rack!$C$35:$G$35,E10)</f>
        <v>15</v>
      </c>
      <c r="F23" s="92" t="n">
        <f aca="false">INDEX(Spec_Rack!$C$35:$G$35,F10)</f>
        <v>15</v>
      </c>
      <c r="G23" s="92" t="n">
        <f aca="false">INDEX(Spec_Rack!$C$35:$G$35,G10)</f>
        <v>10</v>
      </c>
      <c r="H23" s="92" t="n">
        <f aca="false">INDEX(Spec_Rack!$C$35:$G$35,H10)</f>
        <v>10</v>
      </c>
      <c r="I23" s="92" t="n">
        <f aca="false">INDEX(Spec_Rack!$C$35:$G$35,I10)</f>
        <v>15</v>
      </c>
    </row>
    <row r="24" customFormat="false" ht="15" hidden="false" customHeight="false" outlineLevel="0" collapsed="false">
      <c r="A24" s="59" t="s">
        <v>465</v>
      </c>
      <c r="B24" s="59" t="s">
        <v>303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59" t="s">
        <v>466</v>
      </c>
      <c r="B25" s="59" t="s">
        <v>467</v>
      </c>
      <c r="C25" s="93" t="n">
        <f aca="false">INDEX(Spec_Rack!$C$26:$G$26,C10)</f>
        <v>8</v>
      </c>
      <c r="D25" s="93" t="n">
        <f aca="false">INDEX(Spec_Rack!$C$26:$G$26,D10)</f>
        <v>8</v>
      </c>
      <c r="E25" s="93" t="n">
        <f aca="false">INDEX(Spec_Rack!$C$26:$G$26,E10)</f>
        <v>8</v>
      </c>
      <c r="F25" s="93" t="n">
        <f aca="false">INDEX(Spec_Rack!$C$26:$G$26,F10)</f>
        <v>8</v>
      </c>
      <c r="G25" s="93" t="n">
        <f aca="false">INDEX(Spec_Rack!$C$26:$G$26,G10)</f>
        <v>8</v>
      </c>
      <c r="H25" s="93" t="n">
        <f aca="false">INDEX(Spec_Rack!$C$26:$G$26,H10)</f>
        <v>8</v>
      </c>
      <c r="I25" s="93" t="n">
        <f aca="false">INDEX(Spec_Rack!$C$26:$G$26,I10)</f>
        <v>8</v>
      </c>
    </row>
    <row r="26" customFormat="false" ht="15" hidden="false" customHeight="false" outlineLevel="0" collapsed="false">
      <c r="A26" s="59" t="s">
        <v>468</v>
      </c>
      <c r="B26" s="59" t="s">
        <v>467</v>
      </c>
      <c r="C26" s="93" t="n">
        <f aca="false">INDEX(Spec_Rack!$C$27:$G$27,C10)</f>
        <v>0.9</v>
      </c>
      <c r="D26" s="93" t="n">
        <f aca="false">INDEX(Spec_Rack!$C$27:$G$27,D10)</f>
        <v>0.9</v>
      </c>
      <c r="E26" s="93" t="n">
        <f aca="false">INDEX(Spec_Rack!$C$27:$G$27,E10)</f>
        <v>0.9</v>
      </c>
      <c r="F26" s="93" t="n">
        <f aca="false">INDEX(Spec_Rack!$C$27:$G$27,F10)</f>
        <v>0.9</v>
      </c>
      <c r="G26" s="93" t="n">
        <f aca="false">INDEX(Spec_Rack!$C$27:$G$27,G10)</f>
        <v>0.9</v>
      </c>
      <c r="H26" s="93" t="n">
        <f aca="false">INDEX(Spec_Rack!$C$27:$G$27,H10)</f>
        <v>0.9</v>
      </c>
      <c r="I26" s="93" t="n">
        <f aca="false">INDEX(Spec_Rack!$C$27:$G$27,I10)</f>
        <v>0.9</v>
      </c>
    </row>
    <row r="27" customFormat="false" ht="15" hidden="false" customHeight="false" outlineLevel="0" collapsed="false">
      <c r="A27" s="59" t="s">
        <v>469</v>
      </c>
      <c r="B27" s="58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8" t="s">
        <v>470</v>
      </c>
      <c r="B28" s="59" t="s">
        <v>258</v>
      </c>
      <c r="C28" s="94" t="n">
        <f aca="false">INDEX(Spec_Rack!$C$30:$G$30,C10)</f>
        <v>0.5625</v>
      </c>
      <c r="D28" s="94" t="n">
        <f aca="false">INDEX(Spec_Rack!$C$30:$G$30,D10)</f>
        <v>0.5625</v>
      </c>
      <c r="E28" s="94" t="n">
        <f aca="false">INDEX(Spec_Rack!$C$30:$G$30,E10)</f>
        <v>0.5625</v>
      </c>
      <c r="F28" s="94" t="n">
        <f aca="false">INDEX(Spec_Rack!$C$30:$G$30,F10)</f>
        <v>0.5625</v>
      </c>
      <c r="G28" s="94" t="n">
        <f aca="false">INDEX(Spec_Rack!$C$30:$G$30,G10)</f>
        <v>0.5625</v>
      </c>
      <c r="H28" s="94" t="n">
        <f aca="false">INDEX(Spec_Rack!$C$30:$G$30,H10)</f>
        <v>0.5625</v>
      </c>
      <c r="I28" s="94" t="n">
        <f aca="false">INDEX(Spec_Rack!$C$30:$G$30,I10)</f>
        <v>0.5625</v>
      </c>
    </row>
    <row r="29" customFormat="false" ht="15" hidden="false" customHeight="false" outlineLevel="0" collapsed="false">
      <c r="A29" s="58" t="s">
        <v>471</v>
      </c>
      <c r="B29" s="59" t="s">
        <v>258</v>
      </c>
      <c r="C29" s="95" t="n">
        <f aca="false">INDEX(Spec_Rack!$C$31:$G$31,C10)</f>
        <v>1</v>
      </c>
      <c r="D29" s="95" t="n">
        <f aca="false">INDEX(Spec_Rack!$C$31:$G$31,D10)</f>
        <v>1</v>
      </c>
      <c r="E29" s="95" t="n">
        <f aca="false">INDEX(Spec_Rack!$C$31:$G$31,E10)</f>
        <v>1</v>
      </c>
      <c r="F29" s="95" t="n">
        <f aca="false">INDEX(Spec_Rack!$C$31:$G$31,F10)</f>
        <v>1</v>
      </c>
      <c r="G29" s="95" t="n">
        <f aca="false">INDEX(Spec_Rack!$C$31:$G$31,G10)</f>
        <v>1</v>
      </c>
      <c r="H29" s="95" t="n">
        <f aca="false">INDEX(Spec_Rack!$C$31:$G$31,H10)</f>
        <v>1</v>
      </c>
      <c r="I29" s="95" t="n">
        <f aca="false">INDEX(Spec_Rack!$C$31:$G$31,I10)</f>
        <v>1</v>
      </c>
    </row>
    <row r="30" customFormat="false" ht="15" hidden="false" customHeight="false" outlineLevel="0" collapsed="false">
      <c r="A30" s="58" t="s">
        <v>261</v>
      </c>
      <c r="B30" s="59" t="s">
        <v>258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8" t="s">
        <v>263</v>
      </c>
      <c r="B31" s="58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59" t="s">
        <v>266</v>
      </c>
      <c r="B32" s="58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8" t="s">
        <v>472</v>
      </c>
      <c r="B33" s="58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8" t="s">
        <v>473</v>
      </c>
      <c r="B34" s="59" t="s">
        <v>258</v>
      </c>
      <c r="C34" s="96" t="n">
        <f aca="false">Arch!$D$28</f>
        <v>20.2777777777778</v>
      </c>
      <c r="D34" s="96" t="n">
        <f aca="false">Arch!$D$28</f>
        <v>20.2777777777778</v>
      </c>
      <c r="E34" s="96" t="n">
        <f aca="false">Arch!$D$28</f>
        <v>20.2777777777778</v>
      </c>
      <c r="F34" s="96" t="n">
        <f aca="false">Arch!$D$28</f>
        <v>20.2777777777778</v>
      </c>
      <c r="G34" s="96" t="n">
        <f aca="false">Arch!$D$28</f>
        <v>20.2777777777778</v>
      </c>
      <c r="H34" s="96" t="n">
        <f aca="false">Arch!$D$28</f>
        <v>20.2777777777778</v>
      </c>
      <c r="I34" s="96" t="n">
        <f aca="false">Arch!$D$28</f>
        <v>20.2777777777778</v>
      </c>
    </row>
    <row r="35" customFormat="false" ht="15" hidden="false" customHeight="false" outlineLevel="0" collapsed="false">
      <c r="A35" s="58" t="s">
        <v>299</v>
      </c>
      <c r="B35" s="59" t="s">
        <v>258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59" t="s">
        <v>474</v>
      </c>
      <c r="B36" s="59" t="s">
        <v>258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8" t="s">
        <v>475</v>
      </c>
      <c r="B37" s="58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8" t="s">
        <v>276</v>
      </c>
      <c r="B38" s="59" t="s">
        <v>93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8" t="s">
        <v>476</v>
      </c>
      <c r="B39" s="58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8" t="s">
        <v>477</v>
      </c>
      <c r="B40" s="58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8" t="s">
        <v>478</v>
      </c>
      <c r="B41" s="58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59" t="s">
        <v>366</v>
      </c>
      <c r="B42" s="59" t="s">
        <v>279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59" t="s">
        <v>479</v>
      </c>
      <c r="B43" s="59" t="s">
        <v>279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59" t="s">
        <v>480</v>
      </c>
      <c r="B44" s="59" t="s">
        <v>481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59" t="s">
        <v>367</v>
      </c>
      <c r="B45" s="59" t="s">
        <v>279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59" t="s">
        <v>482</v>
      </c>
      <c r="B46" s="59" t="s">
        <v>279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59" t="s">
        <v>483</v>
      </c>
      <c r="B47" s="59" t="s">
        <v>481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484</v>
      </c>
      <c r="B48" s="59" t="s">
        <v>303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8" t="s">
        <v>485</v>
      </c>
      <c r="B49" s="58"/>
      <c r="C49" s="87" t="n">
        <f aca="false">MAX(1,CEILING(C34*C29/(Serving!$C$10*C48),1))</f>
        <v>1</v>
      </c>
      <c r="D49" s="87" t="n">
        <f aca="false">MAX(1,CEILING(D34*D29/(Serving!$C$10*D48),1))</f>
        <v>1</v>
      </c>
      <c r="E49" s="87" t="n">
        <f aca="false">MAX(1,CEILING(E34*E29/(Serving!$C$10*E48),1))</f>
        <v>1</v>
      </c>
      <c r="F49" s="87" t="n">
        <f aca="false">MAX(1,CEILING(F34*F29/(Serving!$C$10*F48),1))</f>
        <v>1</v>
      </c>
      <c r="G49" s="87" t="n">
        <f aca="false">MAX(1,CEILING(G34*G29/(Serving!$C$10*G48),1))</f>
        <v>1</v>
      </c>
      <c r="H49" s="87" t="n">
        <f aca="false">MAX(1,CEILING(H34*H29/(Serving!$C$10*H48),1))</f>
        <v>1</v>
      </c>
      <c r="I49" s="87" t="n">
        <f aca="false">MAX(1,CEILING(I34*I29/(Serving!$C$10*I48),1))</f>
        <v>1</v>
      </c>
    </row>
    <row r="50" customFormat="false" ht="15" hidden="false" customHeight="false" outlineLevel="0" collapsed="false">
      <c r="A50" s="59" t="s">
        <v>486</v>
      </c>
      <c r="B50" s="58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487</v>
      </c>
      <c r="B51" s="59" t="s">
        <v>303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8" t="s">
        <v>488</v>
      </c>
      <c r="B52" s="58"/>
      <c r="C52" s="87" t="n">
        <f aca="false">Serving!$C$6*C13</f>
        <v>3</v>
      </c>
      <c r="D52" s="87" t="n">
        <f aca="false">Serving!$C$6*D13</f>
        <v>3</v>
      </c>
      <c r="E52" s="87" t="n">
        <f aca="false">Serving!$C$6*E13</f>
        <v>3</v>
      </c>
      <c r="F52" s="87" t="n">
        <f aca="false">Serving!$C$6*F13</f>
        <v>0</v>
      </c>
      <c r="G52" s="87" t="n">
        <f aca="false">Serving!$C$6*G13</f>
        <v>0</v>
      </c>
      <c r="H52" s="87" t="n">
        <f aca="false">Serving!$C$6*H13</f>
        <v>3</v>
      </c>
      <c r="I52" s="87" t="n">
        <f aca="false">Serving!$C$6*I13</f>
        <v>3</v>
      </c>
    </row>
    <row r="53" customFormat="false" ht="15" hidden="false" customHeight="false" outlineLevel="0" collapsed="false">
      <c r="A53" s="58" t="s">
        <v>489</v>
      </c>
      <c r="B53" s="58"/>
      <c r="C53" s="95" t="n">
        <f aca="false">IF(C13=1,Serving!$C$8,1)</f>
        <v>2.533</v>
      </c>
      <c r="D53" s="95" t="n">
        <f aca="false">IF(D13=1,Serving!$C$8,1)</f>
        <v>2.533</v>
      </c>
      <c r="E53" s="95" t="n">
        <f aca="false">IF(E13=1,Serving!$C$8,1)</f>
        <v>2.533</v>
      </c>
      <c r="F53" s="95" t="n">
        <f aca="false">IF(F13=1,Serving!$C$8,1)</f>
        <v>1</v>
      </c>
      <c r="G53" s="95" t="n">
        <f aca="false">IF(G13=1,Serving!$C$8,1)</f>
        <v>1</v>
      </c>
      <c r="H53" s="95" t="n">
        <f aca="false">IF(H13=1,Serving!$C$8,1)</f>
        <v>2.533</v>
      </c>
      <c r="I53" s="95" t="n">
        <f aca="false">IF(I13=1,Serving!$C$8,1)</f>
        <v>2.533</v>
      </c>
    </row>
    <row r="54" customFormat="false" ht="15" hidden="false" customHeight="false" outlineLevel="0" collapsed="false">
      <c r="A54" s="59" t="s">
        <v>490</v>
      </c>
      <c r="B54" s="59" t="s">
        <v>359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491</v>
      </c>
      <c r="B55" s="59" t="s">
        <v>492</v>
      </c>
      <c r="C55" s="97" t="n">
        <f aca="false">(C52+1)*C44/C23/1000</f>
        <v>0.0354198254977024</v>
      </c>
      <c r="D55" s="97" t="n">
        <f aca="false">(D52+1)*D44/D23/1000</f>
        <v>0.0354198254977024</v>
      </c>
      <c r="E55" s="97" t="n">
        <f aca="false">(E52+1)*E44/E23/1000</f>
        <v>0.0354198254977024</v>
      </c>
      <c r="F55" s="97" t="n">
        <f aca="false">(F52+1)*F44/F23/1000</f>
        <v>0.0088549563744256</v>
      </c>
      <c r="G55" s="97" t="n">
        <f aca="false">(G52+1)*G44/G23/1000</f>
        <v>0.0132824345616384</v>
      </c>
      <c r="H55" s="97" t="n">
        <f aca="false">(H52+1)*H44/H23/1000</f>
        <v>0.0531297382465536</v>
      </c>
      <c r="I55" s="97" t="n">
        <f aca="false">(I52+1)*I44/I23/1000</f>
        <v>0.0354198254977024</v>
      </c>
    </row>
    <row r="56" customFormat="false" ht="15" hidden="false" customHeight="false" outlineLevel="0" collapsed="false">
      <c r="A56" s="58" t="s">
        <v>493</v>
      </c>
      <c r="B56" s="59" t="s">
        <v>359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494</v>
      </c>
    </row>
    <row r="57" customFormat="false" ht="15" hidden="false" customHeight="false" outlineLevel="0" collapsed="false">
      <c r="A57" s="58" t="s">
        <v>495</v>
      </c>
      <c r="B57" s="58" t="s">
        <v>496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497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59" t="s">
        <v>498</v>
      </c>
      <c r="B60" s="59" t="s">
        <v>93</v>
      </c>
      <c r="C60" s="98" t="n">
        <f aca="false">(C57-D57)*C55/(1000*(C53/C14-D53/D14))</f>
        <v>0.0357550334998836</v>
      </c>
      <c r="J60" s="56" t="s">
        <v>499</v>
      </c>
    </row>
    <row r="61" customFormat="false" ht="15" hidden="false" customHeight="false" outlineLevel="0" collapsed="false">
      <c r="A61" s="58" t="s">
        <v>500</v>
      </c>
      <c r="B61" s="59" t="s">
        <v>492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8" t="s">
        <v>501</v>
      </c>
      <c r="B62" s="59" t="s">
        <v>502</v>
      </c>
      <c r="C62" s="68" t="n">
        <f aca="false">(C61-C51/C25)*1000/(C31+C52)</f>
        <v>161.185338133698</v>
      </c>
      <c r="J62" s="71" t="s">
        <v>503</v>
      </c>
    </row>
    <row r="63" customFormat="false" ht="15" hidden="false" customHeight="false" outlineLevel="0" collapsed="false">
      <c r="A63" s="58" t="s">
        <v>504</v>
      </c>
      <c r="C63" s="90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505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57" t="s">
        <v>165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59" t="s">
        <v>506</v>
      </c>
      <c r="B67" s="59" t="s">
        <v>97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507</v>
      </c>
    </row>
    <row r="68" customFormat="false" ht="15" hidden="false" customHeight="false" outlineLevel="0" collapsed="false">
      <c r="A68" s="58" t="s">
        <v>508</v>
      </c>
      <c r="B68" s="59" t="s">
        <v>97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509</v>
      </c>
    </row>
    <row r="69" customFormat="false" ht="26.85" hidden="false" customHeight="false" outlineLevel="0" collapsed="false">
      <c r="A69" s="59" t="s">
        <v>510</v>
      </c>
      <c r="B69" s="59" t="s">
        <v>97</v>
      </c>
      <c r="C69" s="95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511</v>
      </c>
    </row>
    <row r="70" customFormat="false" ht="15" hidden="false" customHeight="false" outlineLevel="0" collapsed="false">
      <c r="A70" s="59" t="s">
        <v>512</v>
      </c>
      <c r="B70" s="59" t="s">
        <v>93</v>
      </c>
      <c r="C70" s="98" t="n">
        <f aca="false">$C$60*C67</f>
        <v>0.0536325502498254</v>
      </c>
      <c r="D70" s="98" t="n">
        <f aca="false">$C$60*D67</f>
        <v>0.0357550334998836</v>
      </c>
      <c r="E70" s="98" t="n">
        <f aca="false">$C$60*E67</f>
        <v>0.0357550334998836</v>
      </c>
      <c r="F70" s="98" t="n">
        <f aca="false">$C$60*F67</f>
        <v>0.0357550334998836</v>
      </c>
      <c r="G70" s="98" t="n">
        <f aca="false">$C$60*G67</f>
        <v>0.0357550334998836</v>
      </c>
    </row>
    <row r="71" customFormat="false" ht="15" hidden="false" customHeight="false" outlineLevel="0" collapsed="false">
      <c r="A71" s="58" t="s">
        <v>513</v>
      </c>
      <c r="B71" s="59" t="s">
        <v>502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59" t="s">
        <v>514</v>
      </c>
      <c r="B72" s="59" t="s">
        <v>93</v>
      </c>
      <c r="C72" s="99" t="n">
        <f aca="false">$C$5*C69</f>
        <v>0.149924204143507</v>
      </c>
      <c r="D72" s="99" t="n">
        <f aca="false">$C$5*D69</f>
        <v>0.3</v>
      </c>
      <c r="E72" s="99" t="n">
        <f aca="false">$C$5*E69</f>
        <v>0.3</v>
      </c>
      <c r="F72" s="99" t="n">
        <f aca="false">$C$5*F69</f>
        <v>0.3</v>
      </c>
      <c r="G72" s="99" t="n">
        <f aca="false">$C$5*G69</f>
        <v>0.3</v>
      </c>
    </row>
    <row r="74" customFormat="false" ht="15" hidden="false" customHeight="false" outlineLevel="0" collapsed="false">
      <c r="A74" s="73" t="s">
        <v>515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59" t="s">
        <v>516</v>
      </c>
      <c r="B75" s="59" t="s">
        <v>93</v>
      </c>
      <c r="C75" s="100" t="n">
        <f aca="false">INDEX($C$70:$G$70,C10)</f>
        <v>0.0357550334998836</v>
      </c>
      <c r="D75" s="100" t="n">
        <f aca="false">INDEX($C$70:$G$70,D10)</f>
        <v>0.0357550334998836</v>
      </c>
      <c r="E75" s="100" t="n">
        <f aca="false">INDEX($C$70:$G$70,E10)</f>
        <v>0.0357550334998836</v>
      </c>
      <c r="F75" s="100" t="n">
        <f aca="false">INDEX($C$70:$G$70,F10)</f>
        <v>0.0357550334998836</v>
      </c>
      <c r="G75" s="100" t="n">
        <f aca="false">INDEX($C$70:$G$70,G10)</f>
        <v>0.0357550334998836</v>
      </c>
      <c r="H75" s="100" t="n">
        <f aca="false">INDEX($C$70:$G$70,H10)</f>
        <v>0.0357550334998836</v>
      </c>
      <c r="I75" s="100" t="n">
        <f aca="false">INDEX($C$70:$G$70,I10)</f>
        <v>0.0357550334998836</v>
      </c>
    </row>
    <row r="76" customFormat="false" ht="15" hidden="false" customHeight="false" outlineLevel="0" collapsed="false">
      <c r="A76" s="58" t="s">
        <v>517</v>
      </c>
      <c r="B76" s="59" t="s">
        <v>502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59" t="s">
        <v>518</v>
      </c>
      <c r="B77" s="59" t="s">
        <v>93</v>
      </c>
      <c r="C77" s="101" t="n">
        <f aca="false">INDEX($C$72:$G$72,C10)</f>
        <v>0.3</v>
      </c>
      <c r="D77" s="101" t="n">
        <f aca="false">INDEX($C$72:$G$72,D10)</f>
        <v>0.3</v>
      </c>
      <c r="E77" s="101" t="n">
        <f aca="false">INDEX($C$72:$G$72,E10)</f>
        <v>0.3</v>
      </c>
      <c r="F77" s="101" t="n">
        <f aca="false">INDEX($C$72:$G$72,F10)</f>
        <v>0.3</v>
      </c>
      <c r="G77" s="101" t="n">
        <f aca="false">INDEX($C$72:$G$72,G10)</f>
        <v>0.3</v>
      </c>
      <c r="H77" s="101" t="n">
        <f aca="false">INDEX($C$72:$G$72,H10)</f>
        <v>0.3</v>
      </c>
      <c r="I77" s="101" t="n">
        <f aca="false">INDEX($C$72:$G$72,I10)</f>
        <v>0.3</v>
      </c>
    </row>
    <row r="78" customFormat="false" ht="15" hidden="false" customHeight="false" outlineLevel="0" collapsed="false">
      <c r="A78" s="59" t="s">
        <v>519</v>
      </c>
      <c r="B78" s="59" t="s">
        <v>359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520</v>
      </c>
      <c r="B79" s="59" t="s">
        <v>492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8" t="s">
        <v>521</v>
      </c>
      <c r="B80" s="59" t="s">
        <v>492</v>
      </c>
      <c r="C80" s="94" t="n">
        <f aca="false">MAX(C55/C75,C36*C42/(C25*Serving!$C$13)/1000000000,(C52+1)*C31*C33*C32*Serving!$C$12*(C50-1)/C50/(C26*Serving!$C$14)/1000000000)</f>
        <v>0.990624872378254</v>
      </c>
      <c r="D80" s="94" t="n">
        <f aca="false">MAX(D55/D75,D36*D42/(D25*Serving!$C$13)/1000000000,(D52+1)*D31*D33*D32*Serving!$C$12*(D50-1)/D50/(D26*Serving!$C$14)/1000000000)</f>
        <v>0.990624872378254</v>
      </c>
      <c r="E80" s="94" t="n">
        <f aca="false">MAX(E55/E75,E36*E42/(E25*Serving!$C$13)/1000000000,(E52+1)*E31*E33*E32*Serving!$C$12*(E50-1)/E50/(E26*Serving!$C$14)/1000000000)</f>
        <v>0.990624872378254</v>
      </c>
      <c r="F80" s="94" t="n">
        <f aca="false">MAX(F55/F75,F36*F42/(F25*Serving!$C$13)/1000000000,(F52+1)*F31*F33*F32*Serving!$C$12*(F50-1)/F50/(F26*Serving!$C$14)/1000000000)</f>
        <v>0.247656218094563</v>
      </c>
      <c r="G80" s="94" t="n">
        <f aca="false">MAX(G55/G75,G36*G42/(G25*Serving!$C$13)/1000000000,(G52+1)*G31*G33*G32*Serving!$C$12*(G50-1)/G50/(G26*Serving!$C$14)/1000000000)</f>
        <v>0.371484327141845</v>
      </c>
      <c r="H80" s="94" t="n">
        <f aca="false">MAX(H55/H75,H36*H42/(H25*Serving!$C$13)/1000000000,(H52+1)*H31*H33*H32*Serving!$C$12*(H50-1)/H50/(H26*Serving!$C$14)/1000000000)</f>
        <v>1.48593730856738</v>
      </c>
      <c r="I80" s="94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9" t="s">
        <v>522</v>
      </c>
      <c r="B81" s="58" t="s">
        <v>523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8" t="s">
        <v>524</v>
      </c>
      <c r="B82" s="58" t="s">
        <v>523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59" t="s">
        <v>525</v>
      </c>
      <c r="B83" s="58" t="s">
        <v>523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59" t="s">
        <v>526</v>
      </c>
      <c r="B84" s="59" t="s">
        <v>359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527</v>
      </c>
      <c r="B85" s="59" t="s">
        <v>359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528</v>
      </c>
      <c r="B86" s="59" t="s">
        <v>97</v>
      </c>
      <c r="C86" s="102" t="n">
        <f aca="false">C85/C17</f>
        <v>1</v>
      </c>
      <c r="D86" s="102" t="n">
        <f aca="false">D85/D17</f>
        <v>0.999999999999999</v>
      </c>
      <c r="E86" s="102" t="n">
        <f aca="false">E85/E17</f>
        <v>0.99108369917347</v>
      </c>
      <c r="F86" s="102" t="n">
        <f aca="false">F85/F17</f>
        <v>2.18428412747673</v>
      </c>
      <c r="G86" s="102" t="n">
        <f aca="false">G85/G17</f>
        <v>4.1124545381639</v>
      </c>
      <c r="H86" s="102" t="n">
        <f aca="false">H85/H17</f>
        <v>1.00253190991747</v>
      </c>
      <c r="I86" s="102" t="n">
        <f aca="false">I85/I17</f>
        <v>0.875086593299653</v>
      </c>
    </row>
    <row r="87" customFormat="false" ht="42" hidden="false" customHeight="true" outlineLevel="0" collapsed="false">
      <c r="A87" s="58" t="s">
        <v>529</v>
      </c>
      <c r="C87" s="91" t="s">
        <v>530</v>
      </c>
      <c r="D87" s="91" t="s">
        <v>530</v>
      </c>
      <c r="E87" s="91" t="s">
        <v>531</v>
      </c>
      <c r="F87" s="91" t="s">
        <v>532</v>
      </c>
      <c r="G87" s="91" t="s">
        <v>533</v>
      </c>
      <c r="H87" s="91" t="s">
        <v>534</v>
      </c>
      <c r="I87" s="91" t="s">
        <v>119</v>
      </c>
    </row>
    <row r="89" customFormat="false" ht="15" hidden="false" customHeight="false" outlineLevel="0" collapsed="false">
      <c r="A89" s="73" t="s">
        <v>535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10" t="s">
        <v>536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8" t="s">
        <v>537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538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539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540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59" t="s">
        <v>541</v>
      </c>
      <c r="C95" s="100" t="n">
        <f aca="false">(C93-C94)*$C$55/(1000*($C$53/$C$14-$D$53/$D$14))</f>
        <v>0.0552434249054094</v>
      </c>
      <c r="D95" s="100" t="n">
        <f aca="false">(D93-D94)*$C$55/(1000*($C$53/$C$14-$D$53/$D$14))</f>
        <v>0.0357550334998836</v>
      </c>
      <c r="E95" s="100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542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543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10" t="s">
        <v>544</v>
      </c>
    </row>
    <row r="100" customFormat="false" ht="26.85" hidden="false" customHeight="false" outlineLevel="0" collapsed="false">
      <c r="A100" s="58" t="s">
        <v>257</v>
      </c>
      <c r="B100" s="59" t="s">
        <v>258</v>
      </c>
      <c r="C100" s="60" t="n">
        <f aca="false">SRC_MOD_020</f>
        <v>671</v>
      </c>
      <c r="J100" s="85" t="s">
        <v>545</v>
      </c>
    </row>
    <row r="101" customFormat="false" ht="15" hidden="false" customHeight="false" outlineLevel="0" collapsed="false">
      <c r="A101" s="58" t="s">
        <v>261</v>
      </c>
      <c r="B101" s="59" t="s">
        <v>258</v>
      </c>
      <c r="C101" s="60" t="n">
        <f aca="false">SRC_MOD_021</f>
        <v>37</v>
      </c>
    </row>
    <row r="102" customFormat="false" ht="15" hidden="false" customHeight="false" outlineLevel="0" collapsed="false">
      <c r="A102" s="58" t="s">
        <v>263</v>
      </c>
      <c r="B102" s="58"/>
      <c r="C102" s="60" t="n">
        <f aca="false">SRC_MOD_022</f>
        <v>61</v>
      </c>
    </row>
    <row r="103" customFormat="false" ht="15" hidden="false" customHeight="false" outlineLevel="0" collapsed="false">
      <c r="A103" s="59" t="s">
        <v>266</v>
      </c>
      <c r="B103" s="58"/>
      <c r="C103" s="60" t="n">
        <f aca="false">SRC_MOD_023</f>
        <v>7168</v>
      </c>
    </row>
    <row r="104" customFormat="false" ht="15" hidden="false" customHeight="false" outlineLevel="0" collapsed="false">
      <c r="A104" s="59" t="s">
        <v>272</v>
      </c>
      <c r="B104" s="58"/>
      <c r="C104" s="60" t="n">
        <f aca="false">SRC_MOD_024</f>
        <v>256</v>
      </c>
    </row>
    <row r="105" customFormat="false" ht="15" hidden="false" customHeight="false" outlineLevel="0" collapsed="false">
      <c r="A105" s="58" t="s">
        <v>546</v>
      </c>
      <c r="B105" s="58"/>
      <c r="C105" s="60" t="n">
        <f aca="false">SRC_MOD_025</f>
        <v>8</v>
      </c>
    </row>
    <row r="106" customFormat="false" ht="15" hidden="false" customHeight="false" outlineLevel="0" collapsed="false">
      <c r="A106" s="59" t="s">
        <v>274</v>
      </c>
      <c r="B106" s="58"/>
      <c r="C106" s="60" t="n">
        <f aca="false">SRC_MOD_026</f>
        <v>1</v>
      </c>
    </row>
    <row r="107" customFormat="false" ht="15" hidden="false" customHeight="false" outlineLevel="0" collapsed="false">
      <c r="A107" s="59" t="s">
        <v>275</v>
      </c>
      <c r="B107" s="58"/>
      <c r="C107" s="60" t="n">
        <f aca="false">SRC_MOD_027</f>
        <v>129280</v>
      </c>
    </row>
    <row r="108" customFormat="false" ht="15" hidden="false" customHeight="false" outlineLevel="0" collapsed="false">
      <c r="A108" s="59" t="s">
        <v>547</v>
      </c>
      <c r="B108" s="59" t="s">
        <v>258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8" t="s">
        <v>548</v>
      </c>
      <c r="B109" s="59" t="s">
        <v>301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549</v>
      </c>
      <c r="B110" s="59" t="s">
        <v>279</v>
      </c>
      <c r="C110" s="60" t="n">
        <f aca="false">SRC_PERF_029</f>
        <v>800</v>
      </c>
    </row>
    <row r="111" customFormat="false" ht="15" hidden="false" customHeight="false" outlineLevel="0" collapsed="false">
      <c r="A111" s="58" t="s">
        <v>550</v>
      </c>
      <c r="B111" s="59" t="s">
        <v>279</v>
      </c>
      <c r="C111" s="60" t="n">
        <f aca="false">SRC_PERF_030</f>
        <v>3880</v>
      </c>
    </row>
    <row r="112" customFormat="false" ht="15" hidden="false" customHeight="false" outlineLevel="0" collapsed="false">
      <c r="A112" s="58" t="s">
        <v>296</v>
      </c>
      <c r="B112" s="59" t="s">
        <v>258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473</v>
      </c>
      <c r="B113" s="59" t="s">
        <v>258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8" t="s">
        <v>299</v>
      </c>
      <c r="B114" s="59" t="s">
        <v>258</v>
      </c>
      <c r="C114" s="65" t="n">
        <f aca="false">C100-C113</f>
        <v>657.008064516129</v>
      </c>
    </row>
    <row r="116" customFormat="false" ht="30" hidden="false" customHeight="true" outlineLevel="0" collapsed="false">
      <c r="A116" s="57" t="s">
        <v>551</v>
      </c>
      <c r="C116" s="82" t="s">
        <v>552</v>
      </c>
      <c r="D116" s="82" t="s">
        <v>553</v>
      </c>
      <c r="E116" s="82" t="s">
        <v>554</v>
      </c>
      <c r="F116" s="82" t="s">
        <v>555</v>
      </c>
    </row>
    <row r="117" customFormat="false" ht="15" hidden="false" customHeight="false" outlineLevel="0" collapsed="false">
      <c r="A117" s="58" t="s">
        <v>440</v>
      </c>
      <c r="B117" s="58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8" t="s">
        <v>556</v>
      </c>
      <c r="B118" s="59" t="s">
        <v>359</v>
      </c>
      <c r="C118" s="96" t="n">
        <f aca="false">1000/SRC_PERF_031</f>
        <v>66.6666666666667</v>
      </c>
      <c r="D118" s="96" t="n">
        <f aca="false">1000/SRC_PERF_031</f>
        <v>66.6666666666667</v>
      </c>
      <c r="E118" s="96" t="n">
        <f aca="false">1000/SRC_PERF_031</f>
        <v>66.6666666666667</v>
      </c>
      <c r="F118" s="96" t="n">
        <f aca="false">1000/SRC_PERF_032</f>
        <v>12.5</v>
      </c>
    </row>
    <row r="119" customFormat="false" ht="15" hidden="false" customHeight="false" outlineLevel="0" collapsed="false">
      <c r="A119" s="58" t="s">
        <v>557</v>
      </c>
      <c r="B119" s="58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558</v>
      </c>
    </row>
    <row r="120" customFormat="false" ht="26.85" hidden="false" customHeight="false" outlineLevel="0" collapsed="false">
      <c r="A120" s="59" t="s">
        <v>559</v>
      </c>
      <c r="B120" s="59" t="s">
        <v>560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561</v>
      </c>
    </row>
    <row r="121" customFormat="false" ht="30" hidden="false" customHeight="true" outlineLevel="0" collapsed="false">
      <c r="A121" s="58" t="s">
        <v>456</v>
      </c>
      <c r="C121" s="85" t="s">
        <v>562</v>
      </c>
      <c r="D121" s="85" t="s">
        <v>562</v>
      </c>
      <c r="E121" s="85" t="s">
        <v>563</v>
      </c>
      <c r="F121" s="85" t="s">
        <v>562</v>
      </c>
    </row>
    <row r="122" customFormat="false" ht="15" hidden="false" customHeight="false" outlineLevel="0" collapsed="false">
      <c r="A122" s="58" t="s">
        <v>165</v>
      </c>
      <c r="C122" s="90" t="str">
        <f aca="false">INDEX(Spec_Rack!$C$4:$G$4,C117)</f>
        <v>GB300 NVL72</v>
      </c>
      <c r="D122" s="90" t="str">
        <f aca="false">INDEX(Spec_Rack!$C$4:$G$4,D117)</f>
        <v>GB200 NVL72</v>
      </c>
      <c r="E122" s="90" t="str">
        <f aca="false">INDEX(Spec_Rack!$C$4:$G$4,E117)</f>
        <v>VR200 NVL72</v>
      </c>
      <c r="F122" s="90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460</v>
      </c>
      <c r="C123" s="71" t="s">
        <v>564</v>
      </c>
      <c r="D123" s="71" t="s">
        <v>564</v>
      </c>
      <c r="E123" s="71" t="s">
        <v>564</v>
      </c>
      <c r="F123" s="71" t="s">
        <v>564</v>
      </c>
    </row>
    <row r="124" customFormat="false" ht="15" hidden="false" customHeight="false" outlineLevel="0" collapsed="false">
      <c r="A124" s="58" t="s">
        <v>463</v>
      </c>
      <c r="B124" s="59" t="s">
        <v>565</v>
      </c>
      <c r="C124" s="92" t="n">
        <f aca="false">INDEX(Spec_Rack!$C$35:$G$35,C117)</f>
        <v>15</v>
      </c>
      <c r="D124" s="92" t="n">
        <f aca="false">INDEX(Spec_Rack!$C$35:$G$35,D117)</f>
        <v>10</v>
      </c>
      <c r="E124" s="92" t="n">
        <f aca="false">INDEX(Spec_Rack!$C$35:$G$35,E117)</f>
        <v>35</v>
      </c>
      <c r="F124" s="92" t="n">
        <f aca="false">INDEX(Spec_Rack!$C$35:$G$35,F117)</f>
        <v>15</v>
      </c>
    </row>
    <row r="125" customFormat="false" ht="15" hidden="false" customHeight="false" outlineLevel="0" collapsed="false">
      <c r="A125" s="59" t="s">
        <v>566</v>
      </c>
      <c r="B125" s="59" t="s">
        <v>303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59" t="s">
        <v>466</v>
      </c>
      <c r="B126" s="59" t="s">
        <v>467</v>
      </c>
      <c r="C126" s="93" t="n">
        <f aca="false">INDEX(Spec_Rack!$C$26:$G$26,C117)</f>
        <v>8</v>
      </c>
      <c r="D126" s="93" t="n">
        <f aca="false">INDEX(Spec_Rack!$C$26:$G$26,D117)</f>
        <v>8</v>
      </c>
      <c r="E126" s="93" t="n">
        <f aca="false">INDEX(Spec_Rack!$C$26:$G$26,E117)</f>
        <v>22</v>
      </c>
      <c r="F126" s="93" t="n">
        <f aca="false">INDEX(Spec_Rack!$C$26:$G$26,F117)</f>
        <v>8</v>
      </c>
    </row>
    <row r="127" customFormat="false" ht="15" hidden="false" customHeight="false" outlineLevel="0" collapsed="false">
      <c r="A127" s="59" t="s">
        <v>567</v>
      </c>
      <c r="B127" s="59" t="s">
        <v>467</v>
      </c>
      <c r="C127" s="93" t="n">
        <f aca="false">INDEX(Spec_Rack!$C$27:$G$27,C117)</f>
        <v>0.9</v>
      </c>
      <c r="D127" s="93" t="n">
        <f aca="false">INDEX(Spec_Rack!$C$27:$G$27,D117)</f>
        <v>0.9</v>
      </c>
      <c r="E127" s="93" t="n">
        <f aca="false">INDEX(Spec_Rack!$C$27:$G$27,E117)</f>
        <v>1.8</v>
      </c>
      <c r="F127" s="93" t="n">
        <f aca="false">INDEX(Spec_Rack!$C$27:$G$27,F117)</f>
        <v>0.9</v>
      </c>
    </row>
    <row r="128" customFormat="false" ht="15" hidden="false" customHeight="false" outlineLevel="0" collapsed="false">
      <c r="A128" s="59" t="s">
        <v>568</v>
      </c>
      <c r="B128" s="58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8" t="s">
        <v>569</v>
      </c>
      <c r="B129" s="58"/>
      <c r="C129" s="94" t="n">
        <f aca="false">INDEX(Spec_Rack!$C$30:$G$30,C117)</f>
        <v>0.5625</v>
      </c>
      <c r="D129" s="94" t="n">
        <f aca="false">INDEX(Spec_Rack!$C$30:$G$30,D117)</f>
        <v>0.5625</v>
      </c>
      <c r="E129" s="94" t="n">
        <f aca="false">INDEX(Spec_Rack!$C$30:$G$30,E117)</f>
        <v>0.5625</v>
      </c>
      <c r="F129" s="94" t="n">
        <f aca="false">INDEX(Spec_Rack!$C$30:$G$30,F117)</f>
        <v>0.5625</v>
      </c>
    </row>
    <row r="130" customFormat="false" ht="15" hidden="false" customHeight="false" outlineLevel="0" collapsed="false">
      <c r="A130" s="58" t="s">
        <v>570</v>
      </c>
      <c r="B130" s="58"/>
      <c r="C130" s="95" t="n">
        <f aca="false">INDEX(Spec_Rack!$C$31:$G$31,C117)</f>
        <v>1</v>
      </c>
      <c r="D130" s="95" t="n">
        <f aca="false">INDEX(Spec_Rack!$C$31:$G$31,D117)</f>
        <v>1</v>
      </c>
      <c r="E130" s="95" t="n">
        <f aca="false">INDEX(Spec_Rack!$C$31:$G$31,E117)</f>
        <v>1</v>
      </c>
      <c r="F130" s="95" t="n">
        <f aca="false">INDEX(Spec_Rack!$C$31:$G$31,F117)</f>
        <v>1</v>
      </c>
    </row>
    <row r="131" customFormat="false" ht="15" hidden="false" customHeight="false" outlineLevel="0" collapsed="false">
      <c r="A131" s="58" t="s">
        <v>484</v>
      </c>
      <c r="B131" s="59" t="s">
        <v>303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8" t="s">
        <v>571</v>
      </c>
      <c r="B132" s="58"/>
      <c r="C132" s="87" t="n">
        <f aca="false">MAX(1,CEILING($C$113*C130/(Serving!$C$10*C131),1))</f>
        <v>1</v>
      </c>
      <c r="D132" s="87" t="n">
        <f aca="false">MAX(1,CEILING($C$113*D130/(Serving!$C$10*D131),1))</f>
        <v>1</v>
      </c>
      <c r="E132" s="87" t="n">
        <f aca="false">MAX(1,CEILING($C$113*E130/(Serving!$C$10*E131),1))</f>
        <v>1</v>
      </c>
      <c r="F132" s="87" t="n">
        <f aca="false">MAX(1,CEILING($C$113*F130/(Serving!$C$10*F131),1))</f>
        <v>1</v>
      </c>
    </row>
    <row r="133" customFormat="false" ht="15" hidden="false" customHeight="false" outlineLevel="0" collapsed="false">
      <c r="A133" s="59" t="s">
        <v>486</v>
      </c>
      <c r="B133" s="58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487</v>
      </c>
      <c r="B134" s="59" t="s">
        <v>303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59" t="s">
        <v>366</v>
      </c>
      <c r="B135" s="59" t="s">
        <v>279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59" t="s">
        <v>480</v>
      </c>
      <c r="B136" s="59" t="s">
        <v>481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59" t="s">
        <v>483</v>
      </c>
      <c r="B137" s="59" t="s">
        <v>481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572</v>
      </c>
      <c r="B138" s="58"/>
      <c r="C138" s="87" t="n">
        <f aca="false">Serving!$C$6*C119</f>
        <v>3</v>
      </c>
      <c r="D138" s="87" t="n">
        <f aca="false">Serving!$C$6*D119</f>
        <v>3</v>
      </c>
      <c r="E138" s="87" t="n">
        <f aca="false">Serving!$C$6*E119</f>
        <v>3</v>
      </c>
      <c r="F138" s="87" t="n">
        <f aca="false">Serving!$C$6*F119</f>
        <v>0</v>
      </c>
    </row>
    <row r="139" customFormat="false" ht="15" hidden="false" customHeight="false" outlineLevel="0" collapsed="false">
      <c r="A139" s="58" t="s">
        <v>573</v>
      </c>
      <c r="B139" s="58"/>
      <c r="C139" s="95" t="n">
        <f aca="false">IF(C119=1,Serving!$C$8,1)</f>
        <v>2.533</v>
      </c>
      <c r="D139" s="95" t="n">
        <f aca="false">IF(D119=1,Serving!$C$8,1)</f>
        <v>2.533</v>
      </c>
      <c r="E139" s="95" t="n">
        <f aca="false">IF(E119=1,Serving!$C$8,1)</f>
        <v>2.533</v>
      </c>
      <c r="F139" s="95" t="n">
        <f aca="false">IF(F119=1,Serving!$C$8,1)</f>
        <v>1</v>
      </c>
    </row>
    <row r="140" customFormat="false" ht="15" hidden="false" customHeight="false" outlineLevel="0" collapsed="false">
      <c r="A140" s="59" t="s">
        <v>516</v>
      </c>
      <c r="B140" s="59" t="s">
        <v>93</v>
      </c>
      <c r="C140" s="100" t="n">
        <f aca="false">INDEX($C$70:$G$70,C117)</f>
        <v>0.0357550334998836</v>
      </c>
      <c r="D140" s="100" t="n">
        <f aca="false">INDEX($C$70:$G$70,D117)</f>
        <v>0.0357550334998836</v>
      </c>
      <c r="E140" s="100" t="n">
        <f aca="false">INDEX($C$70:$G$70,E117)</f>
        <v>0.0357550334998836</v>
      </c>
      <c r="F140" s="100" t="n">
        <f aca="false">INDEX($C$70:$G$70,F117)</f>
        <v>0.0357550334998836</v>
      </c>
    </row>
    <row r="141" customFormat="false" ht="15" hidden="false" customHeight="false" outlineLevel="0" collapsed="false">
      <c r="A141" s="58" t="s">
        <v>517</v>
      </c>
      <c r="B141" s="59" t="s">
        <v>502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59" t="s">
        <v>518</v>
      </c>
      <c r="B142" s="59" t="s">
        <v>93</v>
      </c>
      <c r="C142" s="101" t="n">
        <f aca="false">INDEX($C$72:$G$72,C117)</f>
        <v>0.3</v>
      </c>
      <c r="D142" s="101" t="n">
        <f aca="false">INDEX($C$72:$G$72,D117)</f>
        <v>0.3</v>
      </c>
      <c r="E142" s="101" t="n">
        <f aca="false">INDEX($C$72:$G$72,E117)</f>
        <v>0.3</v>
      </c>
      <c r="F142" s="101" t="n">
        <f aca="false">INDEX($C$72:$G$72,F117)</f>
        <v>0.3</v>
      </c>
    </row>
    <row r="143" customFormat="false" ht="15" hidden="false" customHeight="false" outlineLevel="0" collapsed="false">
      <c r="A143" s="59" t="s">
        <v>519</v>
      </c>
      <c r="B143" s="59" t="s">
        <v>359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520</v>
      </c>
      <c r="B144" s="59" t="s">
        <v>492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521</v>
      </c>
      <c r="B145" s="59" t="s">
        <v>492</v>
      </c>
      <c r="C145" s="94" t="n">
        <f aca="false">MAX((C138+1)*C136/(C124*C140)/1000,$C$108*C135/(C126*Serving!$C$13)/1000000000,(C138+1)*$C$102*$C$105*$C$103*Serving!$C$12*(C133-1)/C133/(C127*Serving!$C$14)/1000000000)</f>
        <v>0.65402154767224</v>
      </c>
      <c r="D145" s="94" t="n">
        <f aca="false">MAX((D138+1)*D136/(D124*D140)/1000,$C$108*D135/(D126*Serving!$C$13)/1000000000,(D138+1)*$C$102*$C$105*$C$103*Serving!$C$12*(D133-1)/D133/(D127*Serving!$C$14)/1000000000)</f>
        <v>0.98103232150836</v>
      </c>
      <c r="E145" s="94" t="n">
        <f aca="false">MAX((E138+1)*E136/(E124*E140)/1000,$C$108*E135/(E126*Serving!$C$13)/1000000000,(E138+1)*$C$102*$C$105*$C$103*Serving!$C$12*(E133-1)/E133/(E127*Serving!$C$14)/1000000000)</f>
        <v>0.280294949002389</v>
      </c>
      <c r="F145" s="94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9" t="s">
        <v>525</v>
      </c>
      <c r="B146" s="58" t="s">
        <v>523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9" t="s">
        <v>526</v>
      </c>
      <c r="B147" s="59" t="s">
        <v>359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574</v>
      </c>
      <c r="B148" s="59" t="s">
        <v>359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575</v>
      </c>
      <c r="B149" s="59" t="s">
        <v>97</v>
      </c>
      <c r="C149" s="102" t="n">
        <f aca="false">C148/C120</f>
        <v>0.702796711119185</v>
      </c>
      <c r="D149" s="102" t="n">
        <f aca="false">D148/D120</f>
        <v>0.494242858903564</v>
      </c>
      <c r="E149" s="102" t="n">
        <f aca="false">E148/E120</f>
        <v>0.689214136000581</v>
      </c>
      <c r="F149" s="102" t="n">
        <f aca="false">F148/F120</f>
        <v>0.623828998862946</v>
      </c>
    </row>
    <row r="150" customFormat="false" ht="26.85" hidden="false" customHeight="false" outlineLevel="0" collapsed="false">
      <c r="A150" s="59" t="s">
        <v>576</v>
      </c>
      <c r="C150" s="102" t="n">
        <f aca="false">E148/C148</f>
        <v>2.5251262330147</v>
      </c>
      <c r="J150" s="85" t="s">
        <v>577</v>
      </c>
    </row>
    <row r="151" customFormat="false" ht="15" hidden="false" customHeight="false" outlineLevel="0" collapsed="false">
      <c r="A151" s="59" t="s">
        <v>578</v>
      </c>
      <c r="C151" s="102" t="n">
        <f aca="false">E120/C120</f>
        <v>2.5748897461993</v>
      </c>
    </row>
    <row r="152" customFormat="false" ht="26.85" hidden="false" customHeight="false" outlineLevel="0" collapsed="false">
      <c r="A152" s="59" t="s">
        <v>579</v>
      </c>
      <c r="C152" s="74" t="n">
        <f aca="false">C148/D148</f>
        <v>1.5</v>
      </c>
      <c r="D152" s="74" t="n">
        <f aca="false">C120/D120</f>
        <v>1.05487728759394</v>
      </c>
      <c r="J152" s="91" t="s">
        <v>580</v>
      </c>
    </row>
    <row r="154" customFormat="false" ht="15" hidden="false" customHeight="false" outlineLevel="0" collapsed="false">
      <c r="A154" s="73" t="s">
        <v>581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57" t="s">
        <v>165</v>
      </c>
      <c r="B155" s="57" t="s">
        <v>77</v>
      </c>
      <c r="C155" s="90" t="str">
        <f aca="false">Spec_Rack!C4</f>
        <v>Hopper H100</v>
      </c>
      <c r="D155" s="90" t="str">
        <f aca="false">Spec_Rack!D4</f>
        <v>GB200 NVL72</v>
      </c>
      <c r="E155" s="90" t="str">
        <f aca="false">Spec_Rack!E4</f>
        <v>GB300 NVL72</v>
      </c>
      <c r="F155" s="90" t="str">
        <f aca="false">Spec_Rack!F4</f>
        <v>VR200 NVL72</v>
      </c>
      <c r="G155" s="90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582</v>
      </c>
      <c r="B156" s="59" t="s">
        <v>97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6" t="s">
        <v>583</v>
      </c>
      <c r="J156" s="85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5" t="s">
        <v>585</v>
      </c>
    </row>
    <row r="2" customFormat="false" ht="15" hidden="false" customHeight="false" outlineLevel="0" collapsed="false">
      <c r="A2" s="71" t="s">
        <v>586</v>
      </c>
    </row>
    <row r="4" customFormat="false" ht="30" hidden="false" customHeight="true" outlineLevel="0" collapsed="false">
      <c r="A4" s="82" t="s">
        <v>587</v>
      </c>
      <c r="B4" s="81" t="s">
        <v>588</v>
      </c>
      <c r="C4" s="81" t="s">
        <v>589</v>
      </c>
      <c r="D4" s="81" t="s">
        <v>590</v>
      </c>
      <c r="E4" s="81" t="s">
        <v>591</v>
      </c>
      <c r="F4" s="81" t="s">
        <v>592</v>
      </c>
      <c r="G4" s="81" t="s">
        <v>593</v>
      </c>
      <c r="H4" s="81" t="s">
        <v>594</v>
      </c>
      <c r="I4" s="81" t="s">
        <v>595</v>
      </c>
      <c r="J4" s="81" t="s">
        <v>596</v>
      </c>
      <c r="K4" s="81" t="s">
        <v>597</v>
      </c>
      <c r="L4" s="82" t="s">
        <v>598</v>
      </c>
      <c r="M4" s="81" t="s">
        <v>599</v>
      </c>
      <c r="N4" s="81" t="s">
        <v>600</v>
      </c>
      <c r="O4" s="81" t="s">
        <v>601</v>
      </c>
      <c r="P4" s="81" t="s">
        <v>602</v>
      </c>
      <c r="Q4" s="81" t="s">
        <v>603</v>
      </c>
      <c r="R4" s="81" t="s">
        <v>82</v>
      </c>
      <c r="S4" s="81" t="s">
        <v>604</v>
      </c>
      <c r="T4" s="81" t="s">
        <v>605</v>
      </c>
    </row>
    <row r="5" customFormat="false" ht="42" hidden="false" customHeight="true" outlineLevel="0" collapsed="false">
      <c r="A5" s="59" t="s">
        <v>606</v>
      </c>
      <c r="B5" s="6" t="s">
        <v>607</v>
      </c>
      <c r="C5" s="59" t="s">
        <v>608</v>
      </c>
      <c r="D5" s="59" t="s">
        <v>609</v>
      </c>
      <c r="E5" s="76" t="n">
        <v>1</v>
      </c>
      <c r="F5" s="76" t="n">
        <v>1</v>
      </c>
      <c r="G5" s="76" t="n">
        <v>1</v>
      </c>
      <c r="H5" s="64" t="n">
        <v>2</v>
      </c>
      <c r="I5" s="103" t="s">
        <v>610</v>
      </c>
      <c r="J5" s="64" t="n">
        <v>3</v>
      </c>
      <c r="K5" s="58" t="str">
        <f aca="false">IF(J5&gt;=CST_MainMin,"主流","非主流")</f>
        <v>主流</v>
      </c>
      <c r="L5" s="103"/>
      <c r="M5" s="103" t="s">
        <v>611</v>
      </c>
      <c r="N5" s="63" t="n">
        <v>1</v>
      </c>
      <c r="O5" s="64" t="n">
        <v>1</v>
      </c>
      <c r="P5" s="102" t="n">
        <f aca="false">IF(M5="是",1,1+O5*N5*(CHOOSE(H5,E5,F5,G5)-1))</f>
        <v>1</v>
      </c>
      <c r="Q5" s="56" t="s">
        <v>129</v>
      </c>
      <c r="R5" s="85" t="s">
        <v>612</v>
      </c>
      <c r="S5" s="85" t="s">
        <v>608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9" t="s">
        <v>613</v>
      </c>
      <c r="B6" s="5" t="s">
        <v>614</v>
      </c>
      <c r="C6" s="59" t="s">
        <v>608</v>
      </c>
      <c r="D6" s="59" t="s">
        <v>615</v>
      </c>
      <c r="E6" s="76" t="n">
        <v>1</v>
      </c>
      <c r="F6" s="76" t="n">
        <v>1</v>
      </c>
      <c r="G6" s="76" t="n">
        <v>1</v>
      </c>
      <c r="H6" s="64" t="n">
        <v>2</v>
      </c>
      <c r="I6" s="103" t="s">
        <v>610</v>
      </c>
      <c r="J6" s="64" t="n">
        <v>3</v>
      </c>
      <c r="K6" s="58" t="str">
        <f aca="false">IF(J6&gt;=CST_MainMin,"主流","非主流")</f>
        <v>主流</v>
      </c>
      <c r="L6" s="103"/>
      <c r="M6" s="103" t="s">
        <v>611</v>
      </c>
      <c r="N6" s="63" t="n">
        <v>1</v>
      </c>
      <c r="O6" s="64" t="n">
        <v>1</v>
      </c>
      <c r="P6" s="102" t="n">
        <f aca="false">IF(M6="是",1,1+O6*N6*(CHOOSE(H6,E6,F6,G6)-1))</f>
        <v>1</v>
      </c>
      <c r="Q6" s="56" t="s">
        <v>129</v>
      </c>
      <c r="R6" s="85" t="s">
        <v>616</v>
      </c>
      <c r="S6" s="85" t="s">
        <v>608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9" t="s">
        <v>617</v>
      </c>
      <c r="B7" s="6" t="s">
        <v>618</v>
      </c>
      <c r="C7" s="59" t="s">
        <v>608</v>
      </c>
      <c r="D7" s="59" t="s">
        <v>619</v>
      </c>
      <c r="E7" s="76" t="n">
        <v>1</v>
      </c>
      <c r="F7" s="76" t="n">
        <v>1</v>
      </c>
      <c r="G7" s="76" t="n">
        <v>1</v>
      </c>
      <c r="H7" s="64" t="n">
        <v>2</v>
      </c>
      <c r="I7" s="103" t="s">
        <v>610</v>
      </c>
      <c r="J7" s="64" t="n">
        <v>2</v>
      </c>
      <c r="K7" s="58" t="str">
        <f aca="false">IF(J7&gt;=CST_MainMin,"主流","非主流")</f>
        <v>主流</v>
      </c>
      <c r="L7" s="103"/>
      <c r="M7" s="103" t="s">
        <v>611</v>
      </c>
      <c r="N7" s="63" t="n">
        <v>1</v>
      </c>
      <c r="O7" s="64" t="n">
        <v>1</v>
      </c>
      <c r="P7" s="102" t="n">
        <f aca="false">IF(M7="是",1,1+O7*N7*(CHOOSE(H7,E7,F7,G7)-1))</f>
        <v>1</v>
      </c>
      <c r="Q7" s="56" t="s">
        <v>129</v>
      </c>
      <c r="R7" s="85" t="s">
        <v>620</v>
      </c>
      <c r="S7" s="85" t="s">
        <v>608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9" t="s">
        <v>621</v>
      </c>
      <c r="B8" s="6" t="s">
        <v>622</v>
      </c>
      <c r="C8" s="59" t="s">
        <v>608</v>
      </c>
      <c r="D8" s="59" t="s">
        <v>619</v>
      </c>
      <c r="E8" s="76" t="n">
        <v>1</v>
      </c>
      <c r="F8" s="76" t="n">
        <v>1</v>
      </c>
      <c r="G8" s="76" t="n">
        <v>1</v>
      </c>
      <c r="H8" s="64" t="n">
        <v>2</v>
      </c>
      <c r="I8" s="103" t="s">
        <v>610</v>
      </c>
      <c r="J8" s="64" t="n">
        <v>2</v>
      </c>
      <c r="K8" s="58" t="str">
        <f aca="false">IF(J8&gt;=CST_MainMin,"主流","非主流")</f>
        <v>主流</v>
      </c>
      <c r="L8" s="103"/>
      <c r="M8" s="103" t="s">
        <v>611</v>
      </c>
      <c r="N8" s="63" t="n">
        <v>1</v>
      </c>
      <c r="O8" s="64" t="n">
        <v>1</v>
      </c>
      <c r="P8" s="102" t="n">
        <f aca="false">IF(M8="是",1,1+O8*N8*(CHOOSE(H8,E8,F8,G8)-1))</f>
        <v>1</v>
      </c>
      <c r="Q8" s="56" t="s">
        <v>206</v>
      </c>
      <c r="R8" s="85" t="s">
        <v>623</v>
      </c>
      <c r="S8" s="85" t="s">
        <v>608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9" t="s">
        <v>624</v>
      </c>
      <c r="B9" s="6" t="s">
        <v>625</v>
      </c>
      <c r="C9" s="59" t="s">
        <v>608</v>
      </c>
      <c r="D9" s="59" t="s">
        <v>626</v>
      </c>
      <c r="E9" s="76" t="n">
        <v>1</v>
      </c>
      <c r="F9" s="76" t="n">
        <v>1</v>
      </c>
      <c r="G9" s="76" t="n">
        <v>1</v>
      </c>
      <c r="H9" s="64" t="n">
        <v>2</v>
      </c>
      <c r="I9" s="103" t="s">
        <v>610</v>
      </c>
      <c r="J9" s="64" t="n">
        <v>2</v>
      </c>
      <c r="K9" s="58" t="str">
        <f aca="false">IF(J9&gt;=CST_MainMin,"主流","非主流")</f>
        <v>主流</v>
      </c>
      <c r="L9" s="103"/>
      <c r="M9" s="103" t="s">
        <v>611</v>
      </c>
      <c r="N9" s="63" t="n">
        <v>1</v>
      </c>
      <c r="O9" s="64" t="n">
        <v>1</v>
      </c>
      <c r="P9" s="102" t="n">
        <f aca="false">IF(M9="是",1,1+O9*N9*(CHOOSE(H9,E9,F9,G9)-1))</f>
        <v>1</v>
      </c>
      <c r="Q9" s="56" t="s">
        <v>206</v>
      </c>
      <c r="R9" s="85" t="s">
        <v>627</v>
      </c>
      <c r="S9" s="85" t="s">
        <v>608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9" t="s">
        <v>628</v>
      </c>
      <c r="B10" s="6" t="s">
        <v>629</v>
      </c>
      <c r="C10" s="59" t="s">
        <v>630</v>
      </c>
      <c r="D10" s="58" t="s">
        <v>631</v>
      </c>
      <c r="E10" s="76" t="n">
        <v>0.7</v>
      </c>
      <c r="F10" s="76" t="n">
        <v>0.85</v>
      </c>
      <c r="G10" s="76" t="n">
        <v>1</v>
      </c>
      <c r="H10" s="64" t="n">
        <v>2</v>
      </c>
      <c r="I10" s="103" t="s">
        <v>632</v>
      </c>
      <c r="J10" s="64" t="n">
        <v>2</v>
      </c>
      <c r="K10" s="58" t="str">
        <f aca="false">IF(J10&gt;=CST_MainMin,"主流","非主流")</f>
        <v>主流</v>
      </c>
      <c r="L10" s="103"/>
      <c r="M10" s="103" t="s">
        <v>611</v>
      </c>
      <c r="N10" s="63" t="n">
        <v>1</v>
      </c>
      <c r="O10" s="64" t="n">
        <v>0</v>
      </c>
      <c r="P10" s="102" t="n">
        <f aca="false">IF(M10="是",1,1+O10*N10*(CHOOSE(H10,E10,F10,G10)-1))</f>
        <v>1</v>
      </c>
      <c r="Q10" s="56" t="s">
        <v>206</v>
      </c>
      <c r="R10" s="85" t="s">
        <v>633</v>
      </c>
      <c r="S10" s="91" t="s">
        <v>634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9" t="s">
        <v>635</v>
      </c>
      <c r="B11" s="6" t="s">
        <v>636</v>
      </c>
      <c r="C11" s="59" t="s">
        <v>637</v>
      </c>
      <c r="D11" s="58" t="s">
        <v>638</v>
      </c>
      <c r="E11" s="76" t="n">
        <v>1.5</v>
      </c>
      <c r="F11" s="76" t="n">
        <v>2</v>
      </c>
      <c r="G11" s="76" t="n">
        <v>3</v>
      </c>
      <c r="H11" s="64" t="n">
        <v>2</v>
      </c>
      <c r="I11" s="103" t="s">
        <v>632</v>
      </c>
      <c r="J11" s="64" t="n">
        <v>1</v>
      </c>
      <c r="K11" s="58" t="str">
        <f aca="false">IF(J11&gt;=CST_MainMin,"主流","非主流")</f>
        <v>非主流</v>
      </c>
      <c r="L11" s="103"/>
      <c r="M11" s="103" t="s">
        <v>639</v>
      </c>
      <c r="N11" s="63" t="n">
        <v>1</v>
      </c>
      <c r="O11" s="64" t="n">
        <v>0</v>
      </c>
      <c r="P11" s="102" t="n">
        <f aca="false">IF(M11="是",1,1+O11*N11*(CHOOSE(H11,E11,F11,G11)-1))</f>
        <v>1</v>
      </c>
      <c r="Q11" s="56" t="s">
        <v>206</v>
      </c>
      <c r="R11" s="91" t="s">
        <v>640</v>
      </c>
      <c r="S11" s="91" t="s">
        <v>641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9" t="s">
        <v>642</v>
      </c>
      <c r="B12" s="6" t="s">
        <v>643</v>
      </c>
      <c r="C12" s="59" t="s">
        <v>644</v>
      </c>
      <c r="D12" s="58" t="s">
        <v>645</v>
      </c>
      <c r="E12" s="76" t="n">
        <v>1.5</v>
      </c>
      <c r="F12" s="76" t="n">
        <v>2</v>
      </c>
      <c r="G12" s="76" t="n">
        <v>4</v>
      </c>
      <c r="H12" s="64" t="n">
        <v>2</v>
      </c>
      <c r="I12" s="103" t="s">
        <v>646</v>
      </c>
      <c r="J12" s="64" t="n">
        <v>0</v>
      </c>
      <c r="K12" s="58" t="str">
        <f aca="false">IF(J12&gt;=CST_MainMin,"主流","非主流")</f>
        <v>非主流</v>
      </c>
      <c r="L12" s="103"/>
      <c r="M12" s="103" t="s">
        <v>639</v>
      </c>
      <c r="N12" s="63" t="n">
        <v>1</v>
      </c>
      <c r="O12" s="64" t="n">
        <v>0</v>
      </c>
      <c r="P12" s="102" t="n">
        <f aca="false">IF(M12="是",1,1+O12*N12*(CHOOSE(H12,E12,F12,G12)-1))</f>
        <v>1</v>
      </c>
      <c r="Q12" s="56" t="s">
        <v>94</v>
      </c>
      <c r="R12" s="91" t="s">
        <v>647</v>
      </c>
      <c r="S12" s="91" t="s">
        <v>648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9" t="s">
        <v>649</v>
      </c>
      <c r="B13" s="6" t="s">
        <v>650</v>
      </c>
      <c r="C13" s="59" t="s">
        <v>651</v>
      </c>
      <c r="D13" s="58" t="s">
        <v>652</v>
      </c>
      <c r="E13" s="76" t="n">
        <v>1.5</v>
      </c>
      <c r="F13" s="76" t="n">
        <v>2</v>
      </c>
      <c r="G13" s="76" t="n">
        <v>4</v>
      </c>
      <c r="H13" s="64" t="n">
        <v>2</v>
      </c>
      <c r="I13" s="103" t="s">
        <v>646</v>
      </c>
      <c r="J13" s="64" t="n">
        <v>0</v>
      </c>
      <c r="K13" s="58" t="str">
        <f aca="false">IF(J13&gt;=CST_MainMin,"主流","非主流")</f>
        <v>非主流</v>
      </c>
      <c r="L13" s="103"/>
      <c r="M13" s="103" t="s">
        <v>639</v>
      </c>
      <c r="N13" s="63" t="n">
        <v>1</v>
      </c>
      <c r="O13" s="64" t="n">
        <v>0</v>
      </c>
      <c r="P13" s="102" t="n">
        <f aca="false">IF(M13="是",1,1+O13*N13*(CHOOSE(H13,E13,F13,G13)-1))</f>
        <v>1</v>
      </c>
      <c r="Q13" s="56" t="s">
        <v>94</v>
      </c>
      <c r="R13" s="91" t="s">
        <v>653</v>
      </c>
      <c r="S13" s="91" t="s">
        <v>654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9" t="s">
        <v>655</v>
      </c>
      <c r="B14" s="5" t="s">
        <v>656</v>
      </c>
      <c r="C14" s="59" t="s">
        <v>657</v>
      </c>
      <c r="D14" s="59" t="s">
        <v>658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3" t="s">
        <v>610</v>
      </c>
      <c r="J14" s="87" t="n">
        <f aca="false">SRC_MOD_043+SRC_MOD_044+SRC_MOD_045+SRC_MOD_047</f>
        <v>4</v>
      </c>
      <c r="K14" s="58" t="str">
        <f aca="false">IF(J14&gt;=CST_MainMin,"主流","非主流")</f>
        <v>主流</v>
      </c>
      <c r="L14" s="103"/>
      <c r="M14" s="103" t="s">
        <v>611</v>
      </c>
      <c r="N14" s="63" t="n">
        <v>1</v>
      </c>
      <c r="O14" s="64" t="n">
        <v>0</v>
      </c>
      <c r="P14" s="102" t="n">
        <f aca="false">IF(M14="是",1,1+O14*N14*(CHOOSE(H14,E14,F14,G14)-1))</f>
        <v>1</v>
      </c>
      <c r="Q14" s="56" t="s">
        <v>206</v>
      </c>
      <c r="R14" s="91" t="s">
        <v>659</v>
      </c>
      <c r="S14" s="91" t="s">
        <v>660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9" t="s">
        <v>661</v>
      </c>
      <c r="B15" s="6" t="s">
        <v>662</v>
      </c>
      <c r="C15" s="59" t="s">
        <v>663</v>
      </c>
      <c r="D15" s="59" t="s">
        <v>474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3" t="s">
        <v>632</v>
      </c>
      <c r="J15" s="64" t="n">
        <v>1</v>
      </c>
      <c r="K15" s="58" t="str">
        <f aca="false">IF(J15&gt;=CST_MainMin,"主流","非主流")</f>
        <v>非主流</v>
      </c>
      <c r="L15" s="103"/>
      <c r="M15" s="103" t="s">
        <v>639</v>
      </c>
      <c r="N15" s="63" t="n">
        <v>1</v>
      </c>
      <c r="O15" s="64" t="n">
        <v>0</v>
      </c>
      <c r="P15" s="102" t="n">
        <f aca="false">IF(M15="是",1,1+O15*N15*(CHOOSE(H15,E15,F15,G15)-1))</f>
        <v>1</v>
      </c>
      <c r="Q15" s="56" t="s">
        <v>94</v>
      </c>
      <c r="R15" s="85" t="s">
        <v>664</v>
      </c>
      <c r="S15" s="91" t="s">
        <v>665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9" t="s">
        <v>666</v>
      </c>
      <c r="B16" s="6" t="s">
        <v>667</v>
      </c>
      <c r="C16" s="59" t="s">
        <v>668</v>
      </c>
      <c r="D16" s="59" t="s">
        <v>669</v>
      </c>
      <c r="E16" s="76" t="n">
        <v>1</v>
      </c>
      <c r="F16" s="76" t="n">
        <v>1</v>
      </c>
      <c r="G16" s="76" t="n">
        <v>1</v>
      </c>
      <c r="H16" s="64" t="n">
        <v>2</v>
      </c>
      <c r="I16" s="103" t="s">
        <v>670</v>
      </c>
      <c r="J16" s="64" t="n">
        <v>0</v>
      </c>
      <c r="K16" s="58" t="str">
        <f aca="false">IF(J16&gt;=CST_MainMin,"主流","非主流")</f>
        <v>非主流</v>
      </c>
      <c r="L16" s="103"/>
      <c r="M16" s="103" t="s">
        <v>639</v>
      </c>
      <c r="N16" s="63" t="n">
        <v>1</v>
      </c>
      <c r="O16" s="64" t="n">
        <v>0</v>
      </c>
      <c r="P16" s="102" t="n">
        <f aca="false">IF(M16="是",1,1+O16*N16*(CHOOSE(H16,E16,F16,G16)-1))</f>
        <v>1</v>
      </c>
      <c r="Q16" s="56" t="s">
        <v>94</v>
      </c>
      <c r="R16" s="85" t="s">
        <v>671</v>
      </c>
      <c r="S16" s="91" t="s">
        <v>672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673</v>
      </c>
      <c r="B17" s="5" t="s">
        <v>674</v>
      </c>
      <c r="J17" s="64" t="n">
        <v>2</v>
      </c>
      <c r="Q17" s="56" t="s">
        <v>86</v>
      </c>
      <c r="R17" s="85" t="s">
        <v>675</v>
      </c>
    </row>
    <row r="18" customFormat="false" ht="15" hidden="false" customHeight="false" outlineLevel="0" collapsed="false">
      <c r="A18" s="66" t="s">
        <v>676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57" t="s">
        <v>677</v>
      </c>
      <c r="B19" s="57" t="s">
        <v>678</v>
      </c>
      <c r="C19" s="57"/>
      <c r="D19" s="57" t="s">
        <v>679</v>
      </c>
      <c r="E19" s="57" t="s">
        <v>680</v>
      </c>
    </row>
    <row r="20" customFormat="false" ht="15" hidden="false" customHeight="false" outlineLevel="0" collapsed="false">
      <c r="A20" s="10" t="s">
        <v>681</v>
      </c>
      <c r="B20" s="59" t="s">
        <v>682</v>
      </c>
      <c r="D20" s="85" t="s">
        <v>683</v>
      </c>
      <c r="E20" s="104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651</v>
      </c>
      <c r="B21" s="58" t="s">
        <v>508</v>
      </c>
      <c r="D21" s="85" t="s">
        <v>684</v>
      </c>
      <c r="E21" s="104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644</v>
      </c>
      <c r="B22" s="58" t="s">
        <v>685</v>
      </c>
      <c r="D22" s="85" t="s">
        <v>686</v>
      </c>
      <c r="E22" s="104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663</v>
      </c>
      <c r="B23" s="59" t="s">
        <v>687</v>
      </c>
      <c r="D23" s="85" t="s">
        <v>688</v>
      </c>
      <c r="E23" s="104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689</v>
      </c>
      <c r="B24" s="58" t="s">
        <v>690</v>
      </c>
      <c r="D24" s="85" t="s">
        <v>691</v>
      </c>
      <c r="E24" s="104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637</v>
      </c>
      <c r="B25" s="58" t="s">
        <v>692</v>
      </c>
      <c r="D25" s="85" t="s">
        <v>693</v>
      </c>
      <c r="E25" s="104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694</v>
      </c>
      <c r="B26" s="58" t="s">
        <v>695</v>
      </c>
      <c r="D26" s="85" t="s">
        <v>696</v>
      </c>
      <c r="E26" s="104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630</v>
      </c>
      <c r="B27" s="58" t="s">
        <v>697</v>
      </c>
      <c r="D27" s="85" t="s">
        <v>698</v>
      </c>
      <c r="E27" s="104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657</v>
      </c>
      <c r="B28" s="59" t="s">
        <v>699</v>
      </c>
      <c r="D28" s="85" t="s">
        <v>700</v>
      </c>
      <c r="E28" s="104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701</v>
      </c>
      <c r="B29" s="58" t="s">
        <v>702</v>
      </c>
      <c r="D29" s="85" t="s">
        <v>703</v>
      </c>
      <c r="E29" s="104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668</v>
      </c>
      <c r="B30" s="59" t="s">
        <v>704</v>
      </c>
      <c r="D30" s="85" t="s">
        <v>705</v>
      </c>
      <c r="E30" s="104" t="n">
        <f aca="false">EXP(SUMPRODUCT(($C$5:$C$16="H_HAR")*LN($P$5:$P$16)))</f>
        <v>1</v>
      </c>
    </row>
    <row r="32" customFormat="false" ht="30" hidden="false" customHeight="true" outlineLevel="0" collapsed="false">
      <c r="A32" s="57" t="s">
        <v>706</v>
      </c>
      <c r="B32" s="105" t="s">
        <v>707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708</v>
      </c>
    </row>
    <row r="2" customFormat="false" ht="15" hidden="false" customHeight="false" outlineLevel="0" collapsed="false">
      <c r="A2" s="56" t="s">
        <v>709</v>
      </c>
    </row>
    <row r="4" customFormat="false" ht="15" hidden="false" customHeight="false" outlineLevel="0" collapsed="false">
      <c r="A4" s="57" t="s">
        <v>165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7" t="s">
        <v>710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7" t="s">
        <v>440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7" t="s">
        <v>711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712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713</v>
      </c>
      <c r="B10" s="59" t="s">
        <v>97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</row>
    <row r="11" customFormat="false" ht="15" hidden="false" customHeight="false" outlineLevel="0" collapsed="false">
      <c r="A11" s="59" t="s">
        <v>714</v>
      </c>
      <c r="B11" s="59" t="s">
        <v>97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</row>
    <row r="12" customFormat="false" ht="15" hidden="false" customHeight="false" outlineLevel="0" collapsed="false">
      <c r="A12" s="58" t="s">
        <v>715</v>
      </c>
      <c r="B12" s="59" t="s">
        <v>97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</row>
    <row r="13" customFormat="false" ht="15" hidden="false" customHeight="false" outlineLevel="0" collapsed="false">
      <c r="A13" s="73" t="s">
        <v>716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463</v>
      </c>
      <c r="B14" s="59" t="s">
        <v>464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</row>
    <row r="15" customFormat="false" ht="15" hidden="false" customHeight="false" outlineLevel="0" collapsed="false">
      <c r="A15" s="59" t="s">
        <v>465</v>
      </c>
      <c r="B15" s="59" t="s">
        <v>717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59" t="s">
        <v>466</v>
      </c>
      <c r="B16" s="59" t="s">
        <v>348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</row>
    <row r="17" customFormat="false" ht="15" hidden="false" customHeight="false" outlineLevel="0" collapsed="false">
      <c r="A17" s="59" t="s">
        <v>718</v>
      </c>
      <c r="B17" s="59" t="s">
        <v>348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</row>
    <row r="18" customFormat="false" ht="15" hidden="false" customHeight="false" outlineLevel="0" collapsed="false">
      <c r="A18" s="59" t="s">
        <v>226</v>
      </c>
      <c r="B18" s="59" t="s">
        <v>719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8" t="s">
        <v>720</v>
      </c>
      <c r="B19" s="59" t="s">
        <v>258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</row>
    <row r="20" customFormat="false" ht="15" hidden="false" customHeight="false" outlineLevel="0" collapsed="false">
      <c r="A20" s="58" t="s">
        <v>721</v>
      </c>
      <c r="B20" s="59" t="s">
        <v>258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</row>
    <row r="21" customFormat="false" ht="15" hidden="false" customHeight="false" outlineLevel="0" collapsed="false">
      <c r="A21" s="58" t="s">
        <v>722</v>
      </c>
      <c r="B21" s="59" t="s">
        <v>719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59" t="s">
        <v>178</v>
      </c>
      <c r="B22" s="58" t="s">
        <v>723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59" t="s">
        <v>724</v>
      </c>
      <c r="B23" s="59" t="s">
        <v>725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59" t="s">
        <v>726</v>
      </c>
      <c r="B24" s="59" t="s">
        <v>727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8" t="s">
        <v>728</v>
      </c>
      <c r="B25" s="58" t="s">
        <v>729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730</v>
      </c>
      <c r="B26" s="59" t="s">
        <v>731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732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261</v>
      </c>
      <c r="B28" s="59" t="s">
        <v>258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8" t="s">
        <v>263</v>
      </c>
      <c r="B29" s="58" t="s">
        <v>264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59" t="s">
        <v>266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8" t="s">
        <v>733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8" t="s">
        <v>473</v>
      </c>
      <c r="B32" s="59" t="s">
        <v>258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</row>
    <row r="33" customFormat="false" ht="15" hidden="false" customHeight="false" outlineLevel="0" collapsed="false">
      <c r="A33" s="58" t="s">
        <v>299</v>
      </c>
      <c r="B33" s="59" t="s">
        <v>258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59" t="s">
        <v>734</v>
      </c>
      <c r="B34" s="59" t="s">
        <v>258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8" t="s">
        <v>475</v>
      </c>
      <c r="B35" s="59" t="s">
        <v>301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8" t="s">
        <v>276</v>
      </c>
      <c r="B36" s="59" t="s">
        <v>93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8" t="s">
        <v>735</v>
      </c>
      <c r="B37" s="59" t="s">
        <v>279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8" t="s">
        <v>281</v>
      </c>
      <c r="B38" s="59" t="s">
        <v>97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8" t="s">
        <v>283</v>
      </c>
      <c r="B39" s="59" t="s">
        <v>279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736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358</v>
      </c>
      <c r="B41" s="59" t="s">
        <v>359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59" t="s">
        <v>737</v>
      </c>
      <c r="B42" s="59" t="s">
        <v>362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</row>
    <row r="43" customFormat="false" ht="15" hidden="false" customHeight="false" outlineLevel="0" collapsed="false">
      <c r="A43" s="58" t="s">
        <v>738</v>
      </c>
      <c r="B43" s="59" t="s">
        <v>279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8" t="s">
        <v>365</v>
      </c>
      <c r="B44" s="59" t="s">
        <v>279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59" t="s">
        <v>366</v>
      </c>
      <c r="B45" s="59" t="s">
        <v>279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59" t="s">
        <v>367</v>
      </c>
      <c r="B46" s="59" t="s">
        <v>279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59" t="s">
        <v>739</v>
      </c>
      <c r="B47" s="59" t="s">
        <v>279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</row>
    <row r="48" customFormat="false" ht="15" hidden="false" customHeight="false" outlineLevel="0" collapsed="false">
      <c r="A48" s="58" t="s">
        <v>740</v>
      </c>
      <c r="B48" s="59" t="s">
        <v>93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8" t="s">
        <v>741</v>
      </c>
      <c r="B49" s="59" t="s">
        <v>279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8" t="s">
        <v>354</v>
      </c>
      <c r="B50" s="59" t="s">
        <v>97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</row>
    <row r="51" customFormat="false" ht="15" hidden="false" customHeight="false" outlineLevel="0" collapsed="false">
      <c r="A51" s="59" t="s">
        <v>742</v>
      </c>
      <c r="B51" s="59" t="s">
        <v>93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</row>
    <row r="52" customFormat="false" ht="15" hidden="false" customHeight="false" outlineLevel="0" collapsed="false">
      <c r="A52" s="59" t="s">
        <v>743</v>
      </c>
      <c r="B52" s="59" t="s">
        <v>97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</row>
    <row r="53" customFormat="false" ht="15" hidden="false" customHeight="false" outlineLevel="0" collapsed="false">
      <c r="A53" s="59" t="s">
        <v>744</v>
      </c>
      <c r="B53" s="59" t="s">
        <v>93</v>
      </c>
      <c r="C53" s="108" t="n">
        <f aca="false">INDEX(Calib!$C$70:$G$70,C$6)*C52*C50</f>
        <v>0.0536325502498254</v>
      </c>
      <c r="D53" s="108" t="n">
        <f aca="false">INDEX(Calib!$C$70:$G$70,D$6)*D52*D50</f>
        <v>0.0536325502498254</v>
      </c>
      <c r="E53" s="108" t="n">
        <f aca="false">INDEX(Calib!$C$70:$G$70,E$6)*E52*E50</f>
        <v>0.0536325502498254</v>
      </c>
      <c r="F53" s="108" t="n">
        <f aca="false">INDEX(Calib!$C$70:$G$70,F$6)*F52*F50</f>
        <v>0.0357550334998836</v>
      </c>
      <c r="G53" s="108" t="n">
        <f aca="false">INDEX(Calib!$C$70:$G$70,G$6)*G52*G50</f>
        <v>0.0357550334998836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745</v>
      </c>
      <c r="B54" s="59" t="s">
        <v>97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</row>
    <row r="55" customFormat="false" ht="15" hidden="false" customHeight="false" outlineLevel="0" collapsed="false">
      <c r="A55" s="58" t="s">
        <v>746</v>
      </c>
      <c r="B55" s="59" t="s">
        <v>502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59" t="s">
        <v>747</v>
      </c>
      <c r="B56" s="59" t="s">
        <v>93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8" t="s">
        <v>748</v>
      </c>
      <c r="B57" s="59" t="s">
        <v>93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8" t="s">
        <v>749</v>
      </c>
      <c r="B58" s="59" t="s">
        <v>93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59" t="s">
        <v>750</v>
      </c>
      <c r="B59" s="59" t="s">
        <v>258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</row>
    <row r="60" customFormat="false" ht="15" hidden="false" customHeight="false" outlineLevel="0" collapsed="false">
      <c r="A60" s="59" t="s">
        <v>751</v>
      </c>
      <c r="B60" s="59" t="s">
        <v>93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59" t="s">
        <v>752</v>
      </c>
      <c r="B61" s="59" t="s">
        <v>93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8" t="s">
        <v>753</v>
      </c>
      <c r="B62" s="59" t="s">
        <v>467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</row>
    <row r="63" customFormat="false" ht="15" hidden="false" customHeight="false" outlineLevel="0" collapsed="false">
      <c r="A63" s="73" t="s">
        <v>754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755</v>
      </c>
      <c r="B64" s="59" t="s">
        <v>279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59" t="s">
        <v>480</v>
      </c>
      <c r="B65" s="59" t="s">
        <v>481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59" t="s">
        <v>756</v>
      </c>
      <c r="B66" s="59" t="s">
        <v>279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59" t="s">
        <v>483</v>
      </c>
      <c r="B67" s="59" t="s">
        <v>481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757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484</v>
      </c>
      <c r="B69" s="59" t="s">
        <v>303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8" t="s">
        <v>758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</row>
    <row r="71" customFormat="false" ht="15" hidden="false" customHeight="false" outlineLevel="0" collapsed="false">
      <c r="A71" s="59" t="s">
        <v>759</v>
      </c>
      <c r="B71" s="59" t="s">
        <v>719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8" t="s">
        <v>487</v>
      </c>
      <c r="B72" s="59" t="s">
        <v>303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8" t="s">
        <v>760</v>
      </c>
      <c r="B73" s="59" t="s">
        <v>93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761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762</v>
      </c>
      <c r="B75" s="59" t="s">
        <v>359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59" t="s">
        <v>763</v>
      </c>
      <c r="B76" s="59" t="s">
        <v>362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9" t="s">
        <v>764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3" t="s">
        <v>765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766</v>
      </c>
      <c r="B79" s="59" t="s">
        <v>492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8" t="s">
        <v>767</v>
      </c>
      <c r="B80" s="59" t="s">
        <v>492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8" t="s">
        <v>768</v>
      </c>
      <c r="B81" s="59" t="s">
        <v>492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769</v>
      </c>
      <c r="B82" s="59" t="s">
        <v>492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770</v>
      </c>
      <c r="B83" s="59" t="s">
        <v>492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8" t="s">
        <v>771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59" t="s">
        <v>772</v>
      </c>
      <c r="B85" s="58" t="s">
        <v>496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59" t="s">
        <v>773</v>
      </c>
      <c r="B86" s="58" t="s">
        <v>496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774</v>
      </c>
      <c r="B87" s="58" t="s">
        <v>496</v>
      </c>
      <c r="C87" s="110" t="n">
        <f aca="false">MAX(0,MIN(C85,C86))</f>
        <v>4.8451474032189</v>
      </c>
      <c r="D87" s="110" t="n">
        <f aca="false">MAX(0,MIN(D85,D86))</f>
        <v>2.60634496411254</v>
      </c>
      <c r="E87" s="110" t="n">
        <f aca="false">MAX(0,MIN(E85,E86))</f>
        <v>0.44678684374286</v>
      </c>
      <c r="F87" s="110" t="n">
        <f aca="false">MAX(0,MIN(F85,F86))</f>
        <v>28.6320755060154</v>
      </c>
      <c r="G87" s="110" t="n">
        <f aca="false">MAX(0,MIN(G85,G86))</f>
        <v>15.1781515239196</v>
      </c>
      <c r="H87" s="110" t="n">
        <f aca="false">MAX(0,MIN(H85,H86))</f>
        <v>3.0655172579234</v>
      </c>
      <c r="I87" s="110" t="n">
        <f aca="false">MAX(0,MIN(I85,I86))</f>
        <v>42.9481132590231</v>
      </c>
      <c r="J87" s="110" t="n">
        <f aca="false">MAX(0,MIN(J85,J86))</f>
        <v>22.7672272858794</v>
      </c>
      <c r="K87" s="110" t="n">
        <f aca="false">MAX(0,MIN(K85,K86))</f>
        <v>3.6950982485788</v>
      </c>
      <c r="L87" s="110" t="n">
        <f aca="false">MAX(0,MIN(L85,L86))</f>
        <v>106.836749836032</v>
      </c>
      <c r="M87" s="110" t="n">
        <f aca="false">MAX(0,MIN(M85,M86))</f>
        <v>62.0883339972837</v>
      </c>
      <c r="N87" s="110" t="n">
        <f aca="false">MAX(0,MIN(N85,N86))</f>
        <v>14.1753406636192</v>
      </c>
      <c r="O87" s="110" t="n">
        <f aca="false">MAX(0,MIN(O85,O86))</f>
        <v>217.275627746254</v>
      </c>
      <c r="P87" s="110" t="n">
        <f aca="false">MAX(0,MIN(P85,P86))</f>
        <v>129.413871231736</v>
      </c>
      <c r="Q87" s="110" t="n">
        <f aca="false">MAX(0,MIN(Q85,Q86))</f>
        <v>31.6124580709712</v>
      </c>
    </row>
    <row r="88" customFormat="false" ht="15" hidden="false" customHeight="false" outlineLevel="0" collapsed="false">
      <c r="A88" s="59" t="s">
        <v>775</v>
      </c>
      <c r="B88" s="59" t="s">
        <v>359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776</v>
      </c>
      <c r="B89" s="59" t="s">
        <v>359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8" t="s">
        <v>777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9" t="s">
        <v>778</v>
      </c>
      <c r="B91" s="59" t="s">
        <v>93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779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780</v>
      </c>
      <c r="B93" s="59" t="s">
        <v>781</v>
      </c>
      <c r="C93" s="112" t="n">
        <f aca="false">IF(C88&gt;0,C43/C75+C44/C88,"SLO 不可達")</f>
        <v>2.81758042871208</v>
      </c>
      <c r="D93" s="112" t="n">
        <f aca="false">IF(D88&gt;0,D43/D75+D44/D88,"SLO 不可達")</f>
        <v>19.4217091738095</v>
      </c>
      <c r="E93" s="112" t="n">
        <f aca="false">IF(E88&gt;0,E43/E75+E44/E88,"SLO 不可達")</f>
        <v>215.338013912042</v>
      </c>
      <c r="F93" s="112" t="n">
        <f aca="false">IF(F88&gt;0,F43/F75+F44/F88,"SLO 不可達")</f>
        <v>0.402508852115598</v>
      </c>
      <c r="G93" s="112" t="n">
        <f aca="false">IF(G88&gt;0,G43/G75+G44/G88,"SLO 不可達")</f>
        <v>2.80107890175599</v>
      </c>
      <c r="H93" s="112" t="n">
        <f aca="false">IF(H88&gt;0,H43/H75+H44/H88,"SLO 不可達")</f>
        <v>29.1054597325189</v>
      </c>
      <c r="I93" s="112" t="n">
        <f aca="false">IF(I88&gt;0,I43/I75+I44/I88,"SLO 不可達")</f>
        <v>0.268339234743732</v>
      </c>
      <c r="J93" s="112" t="n">
        <f aca="false">IF(J88&gt;0,J43/J75+J44/J88,"SLO 不可達")</f>
        <v>1.86738593450399</v>
      </c>
      <c r="K93" s="112" t="n">
        <f aca="false">IF(K88&gt;0,K43/K75+K44/K88,"SLO 不可達")</f>
        <v>23.3623109173702</v>
      </c>
      <c r="L93" s="112" t="n">
        <f aca="false">IF(L88&gt;0,L43/L75+L44/L88,"SLO 不可達")</f>
        <v>0.109722585057166</v>
      </c>
      <c r="M93" s="112" t="n">
        <f aca="false">IF(M88&gt;0,M43/M75+M44/M88,"SLO 不可達")</f>
        <v>0.714671455168045</v>
      </c>
      <c r="N93" s="112" t="n">
        <f aca="false">IF(N88&gt;0,N43/N75+N44/N88,"SLO 不可達")</f>
        <v>6.62847288948946</v>
      </c>
      <c r="O93" s="112" t="n">
        <f aca="false">IF(O88&gt;0,O43/O75+O44/O88,"SLO 不可達")</f>
        <v>0.0541992038157031</v>
      </c>
      <c r="P93" s="112" t="n">
        <f aca="false">IF(P88&gt;0,P43/P75+P44/P88,"SLO 不可達")</f>
        <v>0.347067506939312</v>
      </c>
      <c r="Q93" s="112" t="n">
        <f aca="false">IF(Q88&gt;0,Q43/Q75+Q44/Q88,"SLO 不可達")</f>
        <v>3.04319873201742</v>
      </c>
    </row>
    <row r="94" customFormat="false" ht="15" hidden="false" customHeight="false" outlineLevel="0" collapsed="false">
      <c r="A94" s="59" t="s">
        <v>782</v>
      </c>
      <c r="B94" s="59" t="s">
        <v>93</v>
      </c>
      <c r="C94" s="83" t="n">
        <f aca="false">IF(ISNUMBER(C93),IF(C93&gt;0,(C43/C75)/C93,0),C93)</f>
        <v>0.374920300699399</v>
      </c>
      <c r="D94" s="83" t="n">
        <f aca="false">IF(ISNUMBER(D93),IF(D93&gt;0,(D43/D75)/D93,0),D93)</f>
        <v>0.377560345999565</v>
      </c>
      <c r="E94" s="83" t="n">
        <f aca="false">IF(ISNUMBER(E93),IF(E93&gt;0,(E43/E75)/E93,0),E93)</f>
        <v>0.225937231236642</v>
      </c>
      <c r="F94" s="83" t="n">
        <f aca="false">IF(ISNUMBER(F93),IF(F93&gt;0,(F43/F75)/F93,0),F93)</f>
        <v>0.259559025091969</v>
      </c>
      <c r="G94" s="83" t="n">
        <f aca="false">IF(ISNUMBER(G93),IF(G93&gt;0,(G43/G75)/G93,0),G93)</f>
        <v>0.258907583482522</v>
      </c>
      <c r="H94" s="83" t="n">
        <f aca="false">IF(ISNUMBER(H93),IF(H93&gt;0,(H43/H75)/H93,0),H93)</f>
        <v>0.165321879346394</v>
      </c>
      <c r="I94" s="83" t="n">
        <f aca="false">IF(ISNUMBER(I93),IF(I93&gt;0,(I43/I75)/I93,0),I93)</f>
        <v>0.259559025091969</v>
      </c>
      <c r="J94" s="83" t="n">
        <f aca="false">IF(ISNUMBER(J93),IF(J93&gt;0,(J43/J75)/J93,0),J93)</f>
        <v>0.258907583482522</v>
      </c>
      <c r="K94" s="83" t="n">
        <f aca="false">IF(ISNUMBER(K93),IF(K93&gt;0,(K43/K75)/K93,0),K93)</f>
        <v>0.13730859985668</v>
      </c>
      <c r="L94" s="83" t="n">
        <f aca="false">IF(ISNUMBER(L93),IF(L93&gt;0,(L43/L75)/L93,0),L93)</f>
        <v>0.272049226150218</v>
      </c>
      <c r="M94" s="83" t="n">
        <f aca="false">IF(ISNUMBER(M93),IF(M93&gt;0,(M43/M75)/M93,0),M93)</f>
        <v>0.289931653950194</v>
      </c>
      <c r="N94" s="83" t="n">
        <f aca="false">IF(ISNUMBER(N93),IF(N93&gt;0,(N43/N75)/N93,0),N93)</f>
        <v>0.207406932505661</v>
      </c>
      <c r="O94" s="83" t="n">
        <f aca="false">IF(ISNUMBER(O93),IF(O93&gt;0,(O43/O75)/O93,0),O93)</f>
        <v>0.275372535521962</v>
      </c>
      <c r="P94" s="83" t="n">
        <f aca="false">IF(ISNUMBER(P93),IF(P93&gt;0,(P43/P75)/P93,0),P93)</f>
        <v>0.298509472775415</v>
      </c>
      <c r="Q94" s="83" t="n">
        <f aca="false">IF(ISNUMBER(Q93),IF(Q93&gt;0,(Q43/Q75)/Q93,0),Q93)</f>
        <v>0.225879305012486</v>
      </c>
    </row>
    <row r="95" customFormat="false" ht="15" hidden="false" customHeight="false" outlineLevel="0" collapsed="false">
      <c r="A95" s="58" t="s">
        <v>783</v>
      </c>
      <c r="B95" s="59" t="s">
        <v>359</v>
      </c>
      <c r="C95" s="68" t="n">
        <f aca="false">IF(ISNUMBER(C93),IF(C93&gt;0,C22*(C43+C44)/C93,0),C93)</f>
        <v>104668.529421467</v>
      </c>
      <c r="D95" s="68" t="n">
        <f aca="false">IF(ISNUMBER(D93),IF(D93&gt;0,D22*(D43+D44)/D93,0),D93)</f>
        <v>30369.3148075447</v>
      </c>
      <c r="E95" s="68" t="n">
        <f aca="false">IF(ISNUMBER(E93),IF(E93&gt;0,E22*(E43+E44)/E93,0),E93)</f>
        <v>5478.1224112239</v>
      </c>
      <c r="F95" s="68" t="n">
        <f aca="false">IF(ISNUMBER(F93),IF(F93&gt;0,F22*(F43+F44)/F93,0),F93)</f>
        <v>1648540.14144621</v>
      </c>
      <c r="G95" s="68" t="n">
        <f aca="false">IF(ISNUMBER(G93),IF(G93&gt;0,G22*(G43+G44)/G93,0),G93)</f>
        <v>473783.155186397</v>
      </c>
      <c r="H95" s="68" t="n">
        <f aca="false">IF(ISNUMBER(H93),IF(H93&gt;0,H22*(H43+H44)/H93,0),H93)</f>
        <v>91192.7873461663</v>
      </c>
      <c r="I95" s="68" t="n">
        <f aca="false">IF(ISNUMBER(I93),IF(I93&gt;0,I22*(I43+I44)/I93,0),I93)</f>
        <v>2472810.21216931</v>
      </c>
      <c r="J95" s="68" t="n">
        <f aca="false">IF(ISNUMBER(J93),IF(J93&gt;0,J22*(J43+J44)/J93,0),J93)</f>
        <v>710674.732779595</v>
      </c>
      <c r="K95" s="68" t="n">
        <f aca="false">IF(ISNUMBER(K93),IF(K93&gt;0,K22*(K43+K44)/K93,0),K93)</f>
        <v>113610.678728985</v>
      </c>
      <c r="L95" s="68" t="n">
        <f aca="false">IF(ISNUMBER(L93),IF(L93&gt;0,L22*(L43+L44)/L93,0),L93)</f>
        <v>6047542.53332882</v>
      </c>
      <c r="M95" s="68" t="n">
        <f aca="false">IF(ISNUMBER(M93),IF(M93&gt;0,M22*(M43+M44)/M93,0),M93)</f>
        <v>1856942.7817541</v>
      </c>
      <c r="N95" s="68" t="n">
        <f aca="false">IF(ISNUMBER(N93),IF(N93&gt;0,N22*(N43+N44)/N93,0),N93)</f>
        <v>400425.262990618</v>
      </c>
      <c r="O95" s="68" t="n">
        <f aca="false">IF(ISNUMBER(O93),IF(O93&gt;0,O22*(O43+O44)/O93,0),O93)</f>
        <v>12242836.6707437</v>
      </c>
      <c r="P95" s="68" t="n">
        <f aca="false">IF(ISNUMBER(P93),IF(P93&gt;0,P22*(P43+P44)/P93,0),P93)</f>
        <v>3823763.31251331</v>
      </c>
      <c r="Q95" s="68" t="n">
        <f aca="false">IF(ISNUMBER(Q93),IF(Q93&gt;0,Q22*(Q43+Q44)/Q93,0),Q93)</f>
        <v>872177.01955352</v>
      </c>
    </row>
    <row r="96" customFormat="false" ht="15" hidden="false" customHeight="false" outlineLevel="0" collapsed="false">
      <c r="A96" s="58" t="s">
        <v>784</v>
      </c>
      <c r="B96" s="59" t="s">
        <v>359</v>
      </c>
      <c r="C96" s="65" t="n">
        <f aca="false">IF(ISNUMBER(C95),C95*C44/(C43+C44),C95)</f>
        <v>11629.8366023852</v>
      </c>
      <c r="D96" s="65" t="n">
        <f aca="false">IF(ISNUMBER(D95),D95*D44/(D43+D44),D95)</f>
        <v>3374.36831194942</v>
      </c>
      <c r="E96" s="65" t="n">
        <f aca="false">IF(ISNUMBER(E95),E95*E44/(E43+E44),E95)</f>
        <v>608.680267913767</v>
      </c>
      <c r="F96" s="65" t="n">
        <f aca="false">IF(ISNUMBER(F95),F95*F44/(F43+F44),F95)</f>
        <v>183171.126827357</v>
      </c>
      <c r="G96" s="65" t="n">
        <f aca="false">IF(ISNUMBER(G95),G95*G44/(G43+G44),G95)</f>
        <v>52642.5727984885</v>
      </c>
      <c r="H96" s="65" t="n">
        <f aca="false">IF(ISNUMBER(H95),H95*H44/(H43+H44),H95)</f>
        <v>10132.5319273518</v>
      </c>
      <c r="I96" s="65" t="n">
        <f aca="false">IF(ISNUMBER(I95),I95*I44/(I43+I44),I95)</f>
        <v>274756.690241035</v>
      </c>
      <c r="J96" s="65" t="n">
        <f aca="false">IF(ISNUMBER(J95),J95*J44/(J43+J44),J95)</f>
        <v>78963.8591977328</v>
      </c>
      <c r="K96" s="65" t="n">
        <f aca="false">IF(ISNUMBER(K95),K95*K44/(K43+K44),K95)</f>
        <v>12623.408747665</v>
      </c>
      <c r="L96" s="65" t="n">
        <f aca="false">IF(ISNUMBER(L95),L95*L44/(L43+L44),L95)</f>
        <v>671949.170369869</v>
      </c>
      <c r="M96" s="65" t="n">
        <f aca="false">IF(ISNUMBER(M95),M95*M44/(M43+M44),M95)</f>
        <v>206326.975750455</v>
      </c>
      <c r="N96" s="65" t="n">
        <f aca="false">IF(ISNUMBER(N95),N95*N44/(N43+N44),N95)</f>
        <v>44491.6958878465</v>
      </c>
      <c r="O96" s="65" t="n">
        <f aca="false">IF(ISNUMBER(O95),O95*O44/(O43+O44),O95)</f>
        <v>1360315.18563819</v>
      </c>
      <c r="P96" s="65" t="n">
        <f aca="false">IF(ISNUMBER(P95),P95*P44/(P43+P44),P95)</f>
        <v>424862.590279257</v>
      </c>
      <c r="Q96" s="65" t="n">
        <f aca="false">IF(ISNUMBER(Q95),Q95*Q44/(Q43+Q44),Q95)</f>
        <v>96908.5577281689</v>
      </c>
    </row>
    <row r="97" customFormat="false" ht="15" hidden="false" customHeight="false" outlineLevel="0" collapsed="false">
      <c r="A97" s="58" t="s">
        <v>785</v>
      </c>
      <c r="B97" s="59" t="s">
        <v>359</v>
      </c>
      <c r="C97" s="65" t="n">
        <f aca="false">IF(ISNUMBER(C95),C95-C96,C95)</f>
        <v>93038.692819082</v>
      </c>
      <c r="D97" s="65" t="n">
        <f aca="false">IF(ISNUMBER(D95),D95-D96,D95)</f>
        <v>26994.9464955953</v>
      </c>
      <c r="E97" s="65" t="n">
        <f aca="false">IF(ISNUMBER(E95),E95-E96,E95)</f>
        <v>4869.44214331013</v>
      </c>
      <c r="F97" s="65" t="n">
        <f aca="false">IF(ISNUMBER(F95),F95-F96,F95)</f>
        <v>1465369.01461885</v>
      </c>
      <c r="G97" s="65" t="n">
        <f aca="false">IF(ISNUMBER(G95),G95-G96,G95)</f>
        <v>421140.582387908</v>
      </c>
      <c r="H97" s="65" t="n">
        <f aca="false">IF(ISNUMBER(H95),H95-H96,H95)</f>
        <v>81060.2554188145</v>
      </c>
      <c r="I97" s="65" t="n">
        <f aca="false">IF(ISNUMBER(I95),I95-I96,I95)</f>
        <v>2198053.52192828</v>
      </c>
      <c r="J97" s="65" t="n">
        <f aca="false">IF(ISNUMBER(J95),J95-J96,J95)</f>
        <v>631710.873581863</v>
      </c>
      <c r="K97" s="65" t="n">
        <f aca="false">IF(ISNUMBER(K95),K95-K96,K95)</f>
        <v>100987.26998132</v>
      </c>
      <c r="L97" s="65" t="n">
        <f aca="false">IF(ISNUMBER(L95),L95-L96,L95)</f>
        <v>5375593.36295895</v>
      </c>
      <c r="M97" s="65" t="n">
        <f aca="false">IF(ISNUMBER(M95),M95-M96,M95)</f>
        <v>1650615.80600364</v>
      </c>
      <c r="N97" s="65" t="n">
        <f aca="false">IF(ISNUMBER(N95),N95-N96,N95)</f>
        <v>355933.567102772</v>
      </c>
      <c r="O97" s="65" t="n">
        <f aca="false">IF(ISNUMBER(O95),O95-O96,O95)</f>
        <v>10882521.4851055</v>
      </c>
      <c r="P97" s="65" t="n">
        <f aca="false">IF(ISNUMBER(P95),P95-P96,P95)</f>
        <v>3398900.72223406</v>
      </c>
      <c r="Q97" s="65" t="n">
        <f aca="false">IF(ISNUMBER(Q95),Q95-Q96,Q95)</f>
        <v>775268.461825351</v>
      </c>
    </row>
    <row r="98" customFormat="false" ht="15" hidden="false" customHeight="false" outlineLevel="0" collapsed="false">
      <c r="A98" s="58" t="s">
        <v>786</v>
      </c>
      <c r="B98" s="59" t="s">
        <v>787</v>
      </c>
      <c r="C98" s="68" t="n">
        <f aca="false">IF(ISNUMBER(C95),C95*C25*8760*3600/1000000,C95)</f>
        <v>74067251304.9223</v>
      </c>
      <c r="D98" s="68" t="n">
        <f aca="false">IF(ISNUMBER(D95),D95*D25*8760*3600/1000000,D95)</f>
        <v>21490429685.4234</v>
      </c>
      <c r="E98" s="68" t="n">
        <f aca="false">IF(ISNUMBER(E95),E95*E25*8760*3600/1000000,E95)</f>
        <v>3876518295.93805</v>
      </c>
      <c r="F98" s="68" t="n">
        <f aca="false">IF(ISNUMBER(F95),F95*F25*8760*3600/1000000,F95)</f>
        <v>362306894085.614</v>
      </c>
      <c r="G98" s="68" t="n">
        <f aca="false">IF(ISNUMBER(G95),G95*G25*8760*3600/1000000,G95)</f>
        <v>104125401080.667</v>
      </c>
      <c r="H98" s="68" t="n">
        <f aca="false">IF(ISNUMBER(H95),H95*H25*8760*3600/1000000,H95)</f>
        <v>20041838664.2467</v>
      </c>
      <c r="I98" s="68" t="n">
        <f aca="false">IF(ISNUMBER(I95),I95*I25*8760*3600/1000000,I95)</f>
        <v>527473919843.971</v>
      </c>
      <c r="J98" s="68" t="n">
        <f aca="false">IF(ISNUMBER(J95),J95*J25*8760*3600/1000000,J95)</f>
        <v>151593674754.548</v>
      </c>
      <c r="K98" s="68" t="n">
        <f aca="false">IF(ISNUMBER(K95),K95*K25*8760*3600/1000000,K95)</f>
        <v>24234237528.7831</v>
      </c>
      <c r="L98" s="68" t="n">
        <f aca="false">IF(ISNUMBER(L95),L95*L25*8760*3600/1000000,L95)</f>
        <v>772778400993.445</v>
      </c>
      <c r="M98" s="68" t="n">
        <f aca="false">IF(ISNUMBER(M95),M95*M25*8760*3600/1000000,M95)</f>
        <v>237287338734.99</v>
      </c>
      <c r="N98" s="68" t="n">
        <f aca="false">IF(ISNUMBER(N95),N95*N25*8760*3600/1000000,N95)</f>
        <v>51167890551.5595</v>
      </c>
      <c r="O98" s="68" t="n">
        <f aca="false">IF(ISNUMBER(O95),O95*O25*8760*3600/1000000,O95)</f>
        <v>1044373713057.39</v>
      </c>
      <c r="P98" s="68" t="n">
        <f aca="false">IF(ISNUMBER(P95),P95*P25*8760*3600/1000000,P95)</f>
        <v>326185670522.351</v>
      </c>
      <c r="Q98" s="68" t="n">
        <f aca="false">IF(ISNUMBER(Q95),Q95*Q25*8760*3600/1000000,Q95)</f>
        <v>74400955991.7707</v>
      </c>
    </row>
    <row r="99" customFormat="false" ht="15" hidden="false" customHeight="false" outlineLevel="0" collapsed="false">
      <c r="A99" s="58" t="s">
        <v>788</v>
      </c>
      <c r="B99" s="59" t="s">
        <v>787</v>
      </c>
      <c r="C99" s="65" t="n">
        <f aca="false">IF(ISNUMBER(C96),C96*C25*8760*3600/1000000,C96)</f>
        <v>8229694589.43581</v>
      </c>
      <c r="D99" s="65" t="n">
        <f aca="false">IF(ISNUMBER(D96),D96*D25*8760*3600/1000000,D96)</f>
        <v>2387825520.6026</v>
      </c>
      <c r="E99" s="65" t="n">
        <f aca="false">IF(ISNUMBER(E96),E96*E25*8760*3600/1000000,E96)</f>
        <v>430724255.104228</v>
      </c>
      <c r="F99" s="65" t="n">
        <f aca="false">IF(ISNUMBER(F96),F96*F25*8760*3600/1000000,F96)</f>
        <v>40256321565.0682</v>
      </c>
      <c r="G99" s="65" t="n">
        <f aca="false">IF(ISNUMBER(G96),G96*G25*8760*3600/1000000,G96)</f>
        <v>11569489008.963</v>
      </c>
      <c r="H99" s="65" t="n">
        <f aca="false">IF(ISNUMBER(H96),H96*H25*8760*3600/1000000,H96)</f>
        <v>2226870962.69408</v>
      </c>
      <c r="I99" s="65" t="n">
        <f aca="false">IF(ISNUMBER(I96),I96*I25*8760*3600/1000000,I96)</f>
        <v>58608213315.9968</v>
      </c>
      <c r="J99" s="65" t="n">
        <f aca="false">IF(ISNUMBER(J96),J96*J25*8760*3600/1000000,J96)</f>
        <v>16843741639.3942</v>
      </c>
      <c r="K99" s="65" t="n">
        <f aca="false">IF(ISNUMBER(K96),K96*K25*8760*3600/1000000,K96)</f>
        <v>2692693058.75367</v>
      </c>
      <c r="L99" s="65" t="n">
        <f aca="false">IF(ISNUMBER(L96),L96*L25*8760*3600/1000000,L96)</f>
        <v>85864266777.0495</v>
      </c>
      <c r="M99" s="65" t="n">
        <f aca="false">IF(ISNUMBER(M96),M96*M25*8760*3600/1000000,M96)</f>
        <v>26365259859.4433</v>
      </c>
      <c r="N99" s="65" t="n">
        <f aca="false">IF(ISNUMBER(N96),N96*N25*8760*3600/1000000,N96)</f>
        <v>5685321172.3955</v>
      </c>
      <c r="O99" s="65" t="n">
        <f aca="false">IF(ISNUMBER(O96),O96*O25*8760*3600/1000000,O96)</f>
        <v>116041523673.043</v>
      </c>
      <c r="P99" s="65" t="n">
        <f aca="false">IF(ISNUMBER(P96),P96*P25*8760*3600/1000000,P96)</f>
        <v>36242852280.2612</v>
      </c>
      <c r="Q99" s="65" t="n">
        <f aca="false">IF(ISNUMBER(Q96),Q96*Q25*8760*3600/1000000,Q96)</f>
        <v>8266772887.97452</v>
      </c>
    </row>
    <row r="100" customFormat="false" ht="15" hidden="false" customHeight="false" outlineLevel="0" collapsed="false">
      <c r="A100" s="73" t="s">
        <v>789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790</v>
      </c>
      <c r="B101" s="59" t="s">
        <v>791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8" t="s">
        <v>792</v>
      </c>
      <c r="B102" s="59" t="s">
        <v>791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</row>
    <row r="103" customFormat="false" ht="15" hidden="false" customHeight="false" outlineLevel="0" collapsed="false">
      <c r="A103" s="59" t="s">
        <v>793</v>
      </c>
      <c r="B103" s="59" t="s">
        <v>791</v>
      </c>
      <c r="C103" s="72" t="n">
        <f aca="false">IF(C88&gt;0,1000000/C88,"SLO 不可達")</f>
        <v>1719.93391321739</v>
      </c>
      <c r="D103" s="72" t="n">
        <f aca="false">IF(D88&gt;0,1000000/D88,"SLO 不可達")</f>
        <v>5902.75485265774</v>
      </c>
      <c r="E103" s="72" t="n">
        <f aca="false">IF(E88&gt;0,1000000/E88,"SLO 不可達")</f>
        <v>40694.6140792865</v>
      </c>
      <c r="F103" s="72" t="n">
        <f aca="false">IF(F88&gt;0,1000000/F88,"SLO 不可達")</f>
        <v>291.04887389608</v>
      </c>
      <c r="G103" s="72" t="n">
        <f aca="false">IF(G88&gt;0,1000000/G88,"SLO 不可達")</f>
        <v>1013.60270124925</v>
      </c>
      <c r="H103" s="72" t="n">
        <f aca="false">IF(H88&gt;0,1000000/H88,"SLO 不可達")</f>
        <v>5931.07676520949</v>
      </c>
      <c r="I103" s="72" t="n">
        <f aca="false">IF(I88&gt;0,1000000/I88,"SLO 不可達")</f>
        <v>194.032582597387</v>
      </c>
      <c r="J103" s="72" t="n">
        <f aca="false">IF(J88&gt;0,1000000/J88,"SLO 不可達")</f>
        <v>675.735134166168</v>
      </c>
      <c r="K103" s="72" t="n">
        <f aca="false">IF(K88&gt;0,1000000/K88,"SLO 不可達")</f>
        <v>4920.52361227776</v>
      </c>
      <c r="L103" s="72" t="n">
        <f aca="false">IF(L88&gt;0,1000000/L88,"SLO 不可達")</f>
        <v>78.000625684729</v>
      </c>
      <c r="M103" s="72" t="n">
        <f aca="false">IF(M88&gt;0,1000000/M88,"SLO 不可達")</f>
        <v>247.785926826261</v>
      </c>
      <c r="N103" s="72" t="n">
        <f aca="false">IF(N88&gt;0,1000000/N88,"SLO 不可達")</f>
        <v>1282.63712409266</v>
      </c>
      <c r="O103" s="72" t="n">
        <f aca="false">IF(O88&gt;0,1000000/O88,"SLO 不可達")</f>
        <v>38.3537418336927</v>
      </c>
      <c r="P103" s="72" t="n">
        <f aca="false">IF(P88&gt;0,1000000/P88,"SLO 不可達")</f>
        <v>118.879183801455</v>
      </c>
      <c r="Q103" s="72" t="n">
        <f aca="false">IF(Q88&gt;0,1000000/Q88,"SLO 不可達")</f>
        <v>575.147245462511</v>
      </c>
    </row>
    <row r="104" customFormat="false" ht="15" hidden="false" customHeight="false" outlineLevel="0" collapsed="false">
      <c r="A104" s="58" t="s">
        <v>794</v>
      </c>
      <c r="B104" s="59" t="s">
        <v>795</v>
      </c>
      <c r="C104" s="114" t="n">
        <f aca="false">INDEX(DC_Cost!$C$58:$Q$58,3*(C$6-1)+2)/3600*C101</f>
        <v>0.0552554588066438</v>
      </c>
      <c r="D104" s="114" t="n">
        <f aca="false">INDEX(DC_Cost!$C$58:$Q$58,3*(D$6-1)+2)/3600*D101</f>
        <v>0.191780186690782</v>
      </c>
      <c r="E104" s="114" t="n">
        <f aca="false">INDEX(DC_Cost!$C$58:$Q$58,3*(E$6-1)+2)/3600*E101</f>
        <v>0.636221622619591</v>
      </c>
      <c r="F104" s="114" t="n">
        <f aca="false">INDEX(DC_Cost!$C$58:$Q$58,3*(F$6-1)+2)/3600*F101</f>
        <v>0.00711512490016412</v>
      </c>
      <c r="G104" s="114" t="n">
        <f aca="false">INDEX(DC_Cost!$C$58:$Q$58,3*(G$6-1)+2)/3600*G101</f>
        <v>0.0246951163043756</v>
      </c>
      <c r="H104" s="114" t="n">
        <f aca="false">INDEX(DC_Cost!$C$58:$Q$58,3*(H$6-1)+2)/3600*H101</f>
        <v>0.0819248705356724</v>
      </c>
      <c r="I104" s="114" t="n">
        <f aca="false">INDEX(DC_Cost!$C$58:$Q$58,3*(I$6-1)+2)/3600*I101</f>
        <v>0.00602660034017561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0.0693913964360257</v>
      </c>
      <c r="L104" s="114" t="n">
        <f aca="false">INDEX(DC_Cost!$C$58:$Q$58,3*(L$6-1)+2)/3600*L101</f>
        <v>0.00484184232125769</v>
      </c>
      <c r="M104" s="114" t="n">
        <f aca="false">INDEX(DC_Cost!$C$58:$Q$58,3*(M$6-1)+2)/3600*M101</f>
        <v>0.0168050260436256</v>
      </c>
      <c r="N104" s="114" t="n">
        <f aca="false">INDEX(DC_Cost!$C$58:$Q$58,3*(N$6-1)+2)/3600*N101</f>
        <v>0.0557498724040708</v>
      </c>
      <c r="O104" s="114" t="n">
        <f aca="false">INDEX(DC_Cost!$C$58:$Q$58,3*(O$6-1)+2)/3600*O101</f>
        <v>0.0045546226683917</v>
      </c>
      <c r="P104" s="114" t="n">
        <f aca="false">INDEX(DC_Cost!$C$58:$Q$58,3*(P$6-1)+2)/3600*P101</f>
        <v>0.0158081464621773</v>
      </c>
      <c r="Q104" s="114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796</v>
      </c>
      <c r="B105" s="59" t="s">
        <v>795</v>
      </c>
      <c r="C105" s="114" t="n">
        <f aca="false">IF(ISNUMBER(C103),INDEX(DC_Cost!$C$58:$Q$58,3*(C$6-1)+2)/3600*C103,C103)</f>
        <v>0.736990032519282</v>
      </c>
      <c r="D105" s="114" t="n">
        <f aca="false">IF(ISNUMBER(D103),INDEX(DC_Cost!$C$58:$Q$58,3*(D$6-1)+2)/3600*D103,D103)</f>
        <v>2.52932479404151</v>
      </c>
      <c r="E105" s="114" t="n">
        <f aca="false">IF(ISNUMBER(E103),INDEX(DC_Cost!$C$58:$Q$58,3*(E$6-1)+2)/3600*E103,E103)</f>
        <v>17.437603109732</v>
      </c>
      <c r="F105" s="114" t="n">
        <f aca="false">IF(ISNUMBER(F103),INDEX(DC_Cost!$C$58:$Q$58,3*(F$6-1)+2)/3600*F103,F103)</f>
        <v>0.162377864250437</v>
      </c>
      <c r="G105" s="114" t="n">
        <f aca="false">IF(ISNUMBER(G103),INDEX(DC_Cost!$C$58:$Q$58,3*(G$6-1)+2)/3600*G103,G103)</f>
        <v>0.565494858729786</v>
      </c>
      <c r="H105" s="114" t="n">
        <f aca="false">IF(ISNUMBER(H103),INDEX(DC_Cost!$C$58:$Q$58,3*(H$6-1)+2)/3600*H103,H103)</f>
        <v>3.30898231952609</v>
      </c>
      <c r="I105" s="114" t="n">
        <f aca="false">IF(ISNUMBER(I103),INDEX(DC_Cost!$C$58:$Q$58,3*(I$6-1)+2)/3600*I103,I103)</f>
        <v>0.137536094679954</v>
      </c>
      <c r="J105" s="114" t="n">
        <f aca="false">IF(ISNUMBER(J103),INDEX(DC_Cost!$C$58:$Q$58,3*(J$6-1)+2)/3600*J103,J103)</f>
        <v>0.478981262565029</v>
      </c>
      <c r="K105" s="114" t="n">
        <f aca="false">IF(ISNUMBER(K103),INDEX(DC_Cost!$C$58:$Q$58,3*(K$6-1)+2)/3600*K103,K103)</f>
        <v>3.48781422353906</v>
      </c>
      <c r="L105" s="114" t="n">
        <f aca="false">IF(ISNUMBER(L103),INDEX(DC_Cost!$C$58:$Q$58,3*(L$6-1)+2)/3600*L103,L103)</f>
        <v>0.103646620561882</v>
      </c>
      <c r="M105" s="114" t="n">
        <f aca="false">IF(ISNUMBER(M103),INDEX(DC_Cost!$C$58:$Q$58,3*(M$6-1)+2)/3600*M103,M103)</f>
        <v>0.329255999075451</v>
      </c>
      <c r="N105" s="114" t="n">
        <f aca="false">IF(ISNUMBER(N103),INDEX(DC_Cost!$C$58:$Q$58,3*(N$6-1)+2)/3600*N103,N103)</f>
        <v>1.70435816575049</v>
      </c>
      <c r="O105" s="114" t="n">
        <f aca="false">IF(ISNUMBER(O103),INDEX(DC_Cost!$C$58:$Q$58,3*(O$6-1)+2)/3600*O103,O103)</f>
        <v>0.0958818836336032</v>
      </c>
      <c r="P105" s="114" t="n">
        <f aca="false">IF(ISNUMBER(P103),INDEX(DC_Cost!$C$58:$Q$58,3*(P$6-1)+2)/3600*P103,P103)</f>
        <v>0.297190300678713</v>
      </c>
      <c r="Q105" s="114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3" t="s">
        <v>797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798</v>
      </c>
      <c r="B107" s="59" t="s">
        <v>799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9" t="s">
        <v>800</v>
      </c>
      <c r="B108" s="59" t="s">
        <v>727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</row>
    <row r="109" customFormat="false" ht="15" hidden="false" customHeight="false" outlineLevel="0" collapsed="false">
      <c r="A109" s="59" t="s">
        <v>801</v>
      </c>
      <c r="B109" s="59" t="s">
        <v>481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59" t="s">
        <v>802</v>
      </c>
      <c r="B110" s="59" t="s">
        <v>303</v>
      </c>
      <c r="C110" s="112" t="n">
        <f aca="false">IF(C87&gt;0,(C72+C87*C34*C45/1000000000)/(C87*C49),0)</f>
        <v>0.805263853140065</v>
      </c>
      <c r="D110" s="112" t="n">
        <f aca="false">IF(D87&gt;0,(D72+D87*D34*D45/1000000000)/(D87*D49),0)</f>
        <v>5.3018214714634</v>
      </c>
      <c r="E110" s="112" t="n">
        <f aca="false">IF(E87&gt;0,(E72+E87*E34*E45/1000000000)/(E87*E49),0)</f>
        <v>36.9299567392546</v>
      </c>
      <c r="F110" s="112" t="n">
        <f aca="false">IF(F87&gt;0,(F72+F87*F34*F45/1000000000)/(F87*F49),0)</f>
        <v>0.151749044977338</v>
      </c>
      <c r="G110" s="112" t="n">
        <f aca="false">IF(G87&gt;0,(G72+G87*G34*G45/1000000000)/(G87*G49),0)</f>
        <v>1.27695054250894</v>
      </c>
      <c r="H110" s="112" t="n">
        <f aca="false">IF(H87&gt;0,(H72+H87*H34*H45/1000000000)/(H87*H49),0)</f>
        <v>12.3694842953008</v>
      </c>
      <c r="I110" s="112" t="n">
        <f aca="false">IF(I87&gt;0,(I72+I87*I34*I45/1000000000)/(I87*I49),0)</f>
        <v>0.10436746175223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13.4547955318711</v>
      </c>
      <c r="L110" s="112" t="n">
        <f aca="false">IF(L87&gt;0,(L72+L87*L34*L45/1000000000)/(L87*L49),0)</f>
        <v>0.0476988574422308</v>
      </c>
      <c r="M110" s="112" t="n">
        <f aca="false">IF(M87&gt;0,(M72+M87*M34*M45/1000000000)/(M87*M49),0)</f>
        <v>0.332752090932984</v>
      </c>
      <c r="N110" s="112" t="n">
        <f aca="false">IF(N87&gt;0,(N72+N87*N34*N45/1000000000)/(N87*N49),0)</f>
        <v>4.09260745171922</v>
      </c>
      <c r="O110" s="112" t="n">
        <f aca="false">IF(O87&gt;0,(O72+O87*O34*O45/1000000000)/(O87*O49),0)</f>
        <v>0.0238868363088292</v>
      </c>
      <c r="P110" s="112" t="n">
        <f aca="false">IF(P87&gt;0,(P72+P87*P34*P45/1000000000)/(P87*P49),0)</f>
        <v>0.131463853114406</v>
      </c>
      <c r="Q110" s="112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9" t="s">
        <v>803</v>
      </c>
      <c r="B111" s="59" t="s">
        <v>303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59" t="s">
        <v>804</v>
      </c>
      <c r="B112" s="59" t="s">
        <v>805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59" t="s">
        <v>806</v>
      </c>
      <c r="B113" s="59" t="s">
        <v>805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8" t="s">
        <v>807</v>
      </c>
      <c r="B114" s="59" t="s">
        <v>731</v>
      </c>
      <c r="C114" s="72" t="n">
        <f aca="false">IF(ISNUMBER(C95),(C97*C113+C96*C112)/1000,C95)</f>
        <v>1.19905268038322</v>
      </c>
      <c r="D114" s="72" t="n">
        <f aca="false">IF(ISNUMBER(D95),(D97*D113+D96*D112)/1000,D95)</f>
        <v>1.46788840268542</v>
      </c>
      <c r="E114" s="72" t="n">
        <f aca="false">IF(ISNUMBER(E95),(E97*E113+E96*E112)/1000,E95)</f>
        <v>1.26270854422066</v>
      </c>
      <c r="F114" s="72" t="n">
        <f aca="false">IF(ISNUMBER(F95),(F97*F113+F96*F112)/1000,F95)</f>
        <v>5.54730248699572</v>
      </c>
      <c r="G114" s="72" t="n">
        <f aca="false">IF(ISNUMBER(G95),(G97*G113+G96*G112)/1000,G95)</f>
        <v>6.51193790372237</v>
      </c>
      <c r="H114" s="72" t="n">
        <f aca="false">IF(ISNUMBER(H95),(H97*H113+H96*H112)/1000,H95)</f>
        <v>6.32576953204403</v>
      </c>
      <c r="I114" s="72" t="n">
        <f aca="false">IF(ISNUMBER(I95),(I97*I113+I96*I112)/1000,I95)</f>
        <v>6.38108318414603</v>
      </c>
      <c r="J114" s="72" t="n">
        <f aca="false">IF(ISNUMBER(J95),(J97*J113+J96*J112)/1000,J95)</f>
        <v>7.33728128497566</v>
      </c>
      <c r="K114" s="72" t="n">
        <f aca="false">IF(ISNUMBER(K95),(K97*K113+K96*K112)/1000,K95)</f>
        <v>7.34212898141256</v>
      </c>
      <c r="L114" s="72" t="n">
        <f aca="false">IF(ISNUMBER(L95),(L97*L113+L96*L112)/1000,L95)</f>
        <v>8.28910190352064</v>
      </c>
      <c r="M114" s="72" t="n">
        <f aca="false">IF(ISNUMBER(M95),(M97*M113+M96*M112)/1000,M95)</f>
        <v>9.50324638508435</v>
      </c>
      <c r="N114" s="72" t="n">
        <f aca="false">IF(ISNUMBER(N95),(N97*N113+N96*N112)/1000,N95)</f>
        <v>9.67305562039299</v>
      </c>
      <c r="O114" s="72" t="n">
        <f aca="false">IF(ISNUMBER(O95),(O97*O113+O96*O112)/1000,O95)</f>
        <v>16.0678961336886</v>
      </c>
      <c r="P114" s="72" t="n">
        <f aca="false">IF(ISNUMBER(P95),(P97*P113+P96*P112)/1000,P95)</f>
        <v>17.7467073809376</v>
      </c>
      <c r="Q114" s="72" t="n">
        <f aca="false">IF(ISNUMBER(Q95),(Q97*Q113+Q96*Q112)/1000,Q95)</f>
        <v>16.343451469026</v>
      </c>
    </row>
    <row r="115" customFormat="false" ht="15" hidden="false" customHeight="false" outlineLevel="0" collapsed="false">
      <c r="A115" s="58" t="s">
        <v>808</v>
      </c>
      <c r="B115" s="59" t="s">
        <v>731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</row>
    <row r="116" customFormat="false" ht="15" hidden="false" customHeight="false" outlineLevel="0" collapsed="false">
      <c r="A116" s="58" t="s">
        <v>809</v>
      </c>
      <c r="B116" s="59" t="s">
        <v>93</v>
      </c>
      <c r="C116" s="116" t="n">
        <f aca="false">IF(ISNUMBER(C114),IF(C115&gt;0,C114/C115,0),C114)</f>
        <v>0.0365564841580249</v>
      </c>
      <c r="D116" s="116" t="n">
        <f aca="false">IF(ISNUMBER(D114),IF(D115&gt;0,D114/D115,0),D114)</f>
        <v>0.0447526952038239</v>
      </c>
      <c r="E116" s="116" t="n">
        <f aca="false">IF(ISNUMBER(E114),IF(E115&gt;0,E114/E115,0),E114)</f>
        <v>0.0384972117140445</v>
      </c>
      <c r="F116" s="116" t="n">
        <f aca="false">IF(ISNUMBER(F114),IF(F115&gt;0,F114/F115,0),F114)</f>
        <v>0.0525312735510958</v>
      </c>
      <c r="G116" s="116" t="n">
        <f aca="false">IF(ISNUMBER(G114),IF(G115&gt;0,G114/G115,0),G114)</f>
        <v>0.0616660786337345</v>
      </c>
      <c r="H116" s="116" t="n">
        <f aca="false">IF(ISNUMBER(H114),IF(H115&gt;0,H114/H115,0),H114)</f>
        <v>0.0599031205685987</v>
      </c>
      <c r="I116" s="116" t="n">
        <f aca="false">IF(ISNUMBER(I114),IF(I115&gt;0,I114/I115,0),I114)</f>
        <v>0.0586496616189893</v>
      </c>
      <c r="J116" s="116" t="n">
        <f aca="false">IF(ISNUMBER(J114),IF(J115&gt;0,J114/J115,0),J114)</f>
        <v>0.0674382471045557</v>
      </c>
      <c r="K116" s="116" t="n">
        <f aca="false">IF(ISNUMBER(K114),IF(K115&gt;0,K114/K115,0),K114)</f>
        <v>0.067482803137983</v>
      </c>
      <c r="L116" s="116" t="n">
        <f aca="false">IF(ISNUMBER(L114),IF(L115&gt;0,L114/L115,0),L114)</f>
        <v>0.0456448342704881</v>
      </c>
      <c r="M116" s="116" t="n">
        <f aca="false">IF(ISNUMBER(M114),IF(M115&gt;0,M114/M115,0),M114)</f>
        <v>0.0523306519002442</v>
      </c>
      <c r="N116" s="116" t="n">
        <f aca="false">IF(ISNUMBER(N114),IF(N115&gt;0,N114/N115,0),N114)</f>
        <v>0.0532657247818997</v>
      </c>
      <c r="O116" s="116" t="n">
        <f aca="false">IF(ISNUMBER(O114),IF(O115&gt;0,O114/O115,0),O114)</f>
        <v>0.0590731475503258</v>
      </c>
      <c r="P116" s="116" t="n">
        <f aca="false">IF(ISNUMBER(P114),IF(P115&gt;0,P114/P115,0),P114)</f>
        <v>0.0652452477240353</v>
      </c>
      <c r="Q116" s="116" t="n">
        <f aca="false">IF(ISNUMBER(Q114),IF(Q115&gt;0,Q114/Q115,0),Q114)</f>
        <v>0.060086218636125</v>
      </c>
    </row>
    <row r="117" customFormat="false" ht="15" hidden="false" customHeight="false" outlineLevel="0" collapsed="false">
      <c r="A117" s="59" t="s">
        <v>810</v>
      </c>
      <c r="B117" s="59" t="s">
        <v>811</v>
      </c>
      <c r="C117" s="117" t="n">
        <f aca="false">IF(ISNUMBER(C95),C95/(C115*1000),C95)</f>
        <v>3.191113701874</v>
      </c>
      <c r="D117" s="117" t="n">
        <f aca="false">IF(ISNUMBER(D95),D95/(D115*1000),D95)</f>
        <v>0.925893744132461</v>
      </c>
      <c r="E117" s="117" t="n">
        <f aca="false">IF(ISNUMBER(E95),E95/(E115*1000),E95)</f>
        <v>0.16701592717146</v>
      </c>
      <c r="F117" s="117" t="n">
        <f aca="false">IF(ISNUMBER(F95),F95/(F115*1000),F95)</f>
        <v>15.611175581877</v>
      </c>
      <c r="G117" s="117" t="n">
        <f aca="false">IF(ISNUMBER(G95),G95/(G115*1000),G95)</f>
        <v>4.48658290896209</v>
      </c>
      <c r="H117" s="117" t="n">
        <f aca="false">IF(ISNUMBER(H95),H95/(H115*1000),H95)</f>
        <v>0.863568061990211</v>
      </c>
      <c r="I117" s="117" t="n">
        <f aca="false">IF(ISNUMBER(I95),I95/(I115*1000),I95)</f>
        <v>22.7280350383209</v>
      </c>
      <c r="J117" s="117" t="n">
        <f aca="false">IF(ISNUMBER(J95),J95/(J115*1000),J95)</f>
        <v>6.5319368821654</v>
      </c>
      <c r="K117" s="117" t="n">
        <f aca="false">IF(ISNUMBER(K95),K95/(K115*1000),K95)</f>
        <v>1.0442157971414</v>
      </c>
      <c r="L117" s="117" t="n">
        <f aca="false">IF(ISNUMBER(L95),L95/(L115*1000),L95)</f>
        <v>33.3014456681102</v>
      </c>
      <c r="M117" s="117" t="n">
        <f aca="false">IF(ISNUMBER(M95),M95/(M115*1000),M95)</f>
        <v>10.2254558466635</v>
      </c>
      <c r="N117" s="117" t="n">
        <f aca="false">IF(ISNUMBER(N95),N95/(N115*1000),N95)</f>
        <v>2.20498492836244</v>
      </c>
      <c r="O117" s="117" t="n">
        <f aca="false">IF(ISNUMBER(O95),O95/(O115*1000),O95)</f>
        <v>45.0104289365576</v>
      </c>
      <c r="P117" s="117" t="n">
        <f aca="false">IF(ISNUMBER(P95),P95/(P115*1000),P95)</f>
        <v>14.0579533548284</v>
      </c>
      <c r="Q117" s="117" t="n">
        <f aca="false">IF(ISNUMBER(Q95),Q95/(Q115*1000),Q95)</f>
        <v>3.20653316012323</v>
      </c>
    </row>
    <row r="118" customFormat="false" ht="15" hidden="false" customHeight="false" outlineLevel="0" collapsed="false">
      <c r="A118" s="58" t="s">
        <v>812</v>
      </c>
      <c r="B118" s="59" t="s">
        <v>805</v>
      </c>
      <c r="C118" s="112" t="n">
        <f aca="false">IF(ISNUMBER(C96),IF(C96&gt;0,C115*1000*(1-C94)/C96,0),C96)</f>
        <v>1.76293226104782</v>
      </c>
      <c r="D118" s="112" t="n">
        <f aca="false">IF(ISNUMBER(D96),IF(D96&gt;0,D115*1000*(1-D94)/D96,0),D96)</f>
        <v>6.05032372397419</v>
      </c>
      <c r="E118" s="112" t="n">
        <f aca="false">IF(ISNUMBER(E96),IF(E96&gt;0,E115*1000*(1-E94)/E96,0),E96)</f>
        <v>41.7119794312687</v>
      </c>
      <c r="F118" s="112" t="n">
        <f aca="false">IF(ISNUMBER(F96),IF(F96&gt;0,F115*1000*(1-F94)/F96,0),F96)</f>
        <v>0.426871681714251</v>
      </c>
      <c r="G118" s="112" t="n">
        <f aca="false">IF(ISNUMBER(G96),IF(G96&gt;0,G115*1000*(1-G94)/G96,0),G96)</f>
        <v>1.48661729516557</v>
      </c>
      <c r="H118" s="112" t="n">
        <f aca="false">IF(ISNUMBER(H96),IF(H96&gt;0,H115*1000*(1-H94)/H96,0),H96)</f>
        <v>8.69891258897392</v>
      </c>
      <c r="I118" s="112" t="n">
        <f aca="false">IF(ISNUMBER(I96),IF(I96&gt;0,I115*1000*(1-I94)/I96,0),I96)</f>
        <v>0.293204791480496</v>
      </c>
      <c r="J118" s="112" t="n">
        <f aca="false">IF(ISNUMBER(J96),IF(J96&gt;0,J115*1000*(1-J94)/J96,0),J96)</f>
        <v>1.02111086940665</v>
      </c>
      <c r="K118" s="112" t="n">
        <f aca="false">IF(ISNUMBER(K96),IF(K96&gt;0,K115*1000*(1-K94)/K96,0),K96)</f>
        <v>7.43545790299751</v>
      </c>
      <c r="L118" s="112" t="n">
        <f aca="false">IF(ISNUMBER(L96),IF(L96&gt;0,L115*1000*(1-L94)/L96,0),L96)</f>
        <v>0.196734911449261</v>
      </c>
      <c r="M118" s="112" t="n">
        <f aca="false">IF(ISNUMBER(M96),IF(M96&gt;0,M115*1000*(1-M94)/M96,0),M96)</f>
        <v>0.624971170995125</v>
      </c>
      <c r="N118" s="112" t="n">
        <f aca="false">IF(ISNUMBER(N96),IF(N96&gt;0,N115*1000*(1-N94)/N96,0),N96)</f>
        <v>3.2350958574337</v>
      </c>
      <c r="O118" s="112" t="n">
        <f aca="false">IF(ISNUMBER(O96),IF(O96&gt;0,O115*1000*(1-O94)/O96,0),O96)</f>
        <v>0.14489191359395</v>
      </c>
      <c r="P118" s="112" t="n">
        <f aca="false">IF(ISNUMBER(P96),IF(P96&gt;0,P115*1000*(1-P94)/P96,0),P96)</f>
        <v>0.449099138805497</v>
      </c>
      <c r="Q118" s="112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3" t="s">
        <v>813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59" t="s">
        <v>814</v>
      </c>
      <c r="B120" s="59" t="s">
        <v>97</v>
      </c>
      <c r="C120" s="102" t="n">
        <f aca="false">IF(AND(ISNUMBER(C98),ISNUMBER(INDEX($C$98:$Q$98,9+C$7))),IF(INDEX($C$98:$Q$98,9+C$7)&gt;0,C98/INDEX($C$98:$Q$98,9+C$7),0),"SLO 不可達")</f>
        <v>0.0958453952772297</v>
      </c>
      <c r="D120" s="102" t="n">
        <f aca="false">IF(AND(ISNUMBER(D98),ISNUMBER(INDEX($C$98:$Q$98,9+D$7))),IF(INDEX($C$98:$Q$98,9+D$7)&gt;0,D98/INDEX($C$98:$Q$98,9+D$7),0),"SLO 不可達")</f>
        <v>0.0905671149585636</v>
      </c>
      <c r="E120" s="102" t="n">
        <f aca="false">IF(AND(ISNUMBER(E98),ISNUMBER(INDEX($C$98:$Q$98,9+E$7))),IF(INDEX($C$98:$Q$98,9+E$7)&gt;0,E98/INDEX($C$98:$Q$98,9+E$7),0),"SLO 不可達")</f>
        <v>0.075760760393901</v>
      </c>
      <c r="F120" s="102" t="n">
        <f aca="false">IF(AND(ISNUMBER(F98),ISNUMBER(INDEX($C$98:$Q$98,9+F$7))),IF(INDEX($C$98:$Q$98,9+F$7)&gt;0,F98/INDEX($C$98:$Q$98,9+F$7),0),"SLO 不可達")</f>
        <v>0.468836724240545</v>
      </c>
      <c r="G120" s="102" t="n">
        <f aca="false">IF(AND(ISNUMBER(G98),ISNUMBER(INDEX($C$98:$Q$98,9+G$7))),IF(INDEX($C$98:$Q$98,9+G$7)&gt;0,G98/INDEX($C$98:$Q$98,9+G$7),0),"SLO 不可達")</f>
        <v>0.438815663894134</v>
      </c>
      <c r="H120" s="102" t="n">
        <f aca="false">IF(AND(ISNUMBER(H98),ISNUMBER(INDEX($C$98:$Q$98,9+H$7))),IF(INDEX($C$98:$Q$98,9+H$7)&gt;0,H98/INDEX($C$98:$Q$98,9+H$7),0),"SLO 不可達")</f>
        <v>0.39168780358556</v>
      </c>
      <c r="I120" s="102" t="n">
        <f aca="false">IF(AND(ISNUMBER(I98),ISNUMBER(INDEX($C$98:$Q$98,9+I$7))),IF(INDEX($C$98:$Q$98,9+I$7)&gt;0,I98/INDEX($C$98:$Q$98,9+I$7),0),"SLO 不可達")</f>
        <v>0.682568145235267</v>
      </c>
      <c r="J120" s="102" t="n">
        <f aca="false">IF(AND(ISNUMBER(J98),ISNUMBER(INDEX($C$98:$Q$98,9+J$7))),IF(INDEX($C$98:$Q$98,9+J$7)&gt;0,J98/INDEX($C$98:$Q$98,9+J$7),0),"SLO 不可達")</f>
        <v>0.638861203310358</v>
      </c>
      <c r="K120" s="102" t="n">
        <f aca="false">IF(AND(ISNUMBER(K98),ISNUMBER(INDEX($C$98:$Q$98,9+K$7))),IF(INDEX($C$98:$Q$98,9+K$7)&gt;0,K98/INDEX($C$98:$Q$98,9+K$7),0),"SLO 不可達")</f>
        <v>0.473621977915297</v>
      </c>
      <c r="L120" s="102" t="n">
        <f aca="false">IF(AND(ISNUMBER(L98),ISNUMBER(INDEX($C$98:$Q$98,9+L$7))),IF(INDEX($C$98:$Q$98,9+L$7)&gt;0,L98/INDEX($C$98:$Q$98,9+L$7),0),"SLO 不可達")</f>
        <v>1</v>
      </c>
      <c r="M120" s="102" t="n">
        <f aca="false">IF(AND(ISNUMBER(M98),ISNUMBER(INDEX($C$98:$Q$98,9+M$7))),IF(INDEX($C$98:$Q$98,9+M$7)&gt;0,M98/INDEX($C$98:$Q$98,9+M$7),0),"SLO 不可達")</f>
        <v>1</v>
      </c>
      <c r="N120" s="102" t="n">
        <f aca="false">IF(AND(ISNUMBER(N98),ISNUMBER(INDEX($C$98:$Q$98,9+N$7))),IF(INDEX($C$98:$Q$98,9+N$7)&gt;0,N98/INDEX($C$98:$Q$98,9+N$7),0),"SLO 不可達")</f>
        <v>1</v>
      </c>
      <c r="O120" s="102" t="n">
        <f aca="false">IF(AND(ISNUMBER(O98),ISNUMBER(INDEX($C$98:$Q$98,9+O$7))),IF(INDEX($C$98:$Q$98,9+O$7)&gt;0,O98/INDEX($C$98:$Q$98,9+O$7),0),"SLO 不可達")</f>
        <v>1.35145303196207</v>
      </c>
      <c r="P120" s="102" t="n">
        <f aca="false">IF(AND(ISNUMBER(P98),ISNUMBER(INDEX($C$98:$Q$98,9+P$7))),IF(INDEX($C$98:$Q$98,9+P$7)&gt;0,P98/INDEX($C$98:$Q$98,9+P$7),0),"SLO 不可達")</f>
        <v>1.37464422780115</v>
      </c>
      <c r="Q120" s="102" t="n">
        <f aca="false">IF(AND(ISNUMBER(Q98),ISNUMBER(INDEX($C$98:$Q$98,9+Q$7))),IF(INDEX($C$98:$Q$98,9+Q$7)&gt;0,Q98/INDEX($C$98:$Q$98,9+Q$7),0),"SLO 不可達")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5" t="s">
        <v>815</v>
      </c>
    </row>
    <row r="2" customFormat="false" ht="15" hidden="false" customHeight="false" outlineLevel="0" collapsed="false">
      <c r="A2" s="71" t="s">
        <v>816</v>
      </c>
    </row>
    <row r="3" customFormat="false" ht="43.5" hidden="false" customHeight="true" outlineLevel="0" collapsed="false">
      <c r="A3" s="57" t="s">
        <v>817</v>
      </c>
      <c r="C3" s="118" t="s">
        <v>79</v>
      </c>
      <c r="D3" s="118"/>
      <c r="E3" s="119" t="s">
        <v>818</v>
      </c>
      <c r="F3" s="119"/>
      <c r="G3" s="119" t="s">
        <v>819</v>
      </c>
      <c r="H3" s="119"/>
      <c r="I3" s="119" t="s">
        <v>820</v>
      </c>
      <c r="J3" s="119"/>
      <c r="K3" s="119" t="s">
        <v>821</v>
      </c>
      <c r="L3" s="119"/>
      <c r="M3" s="119" t="s">
        <v>822</v>
      </c>
      <c r="N3" s="119"/>
      <c r="O3" s="119" t="s">
        <v>823</v>
      </c>
      <c r="P3" s="119"/>
      <c r="Q3" s="119" t="s">
        <v>824</v>
      </c>
      <c r="R3" s="119"/>
      <c r="S3" s="119" t="s">
        <v>825</v>
      </c>
      <c r="T3" s="119"/>
      <c r="U3" s="119" t="s">
        <v>826</v>
      </c>
      <c r="V3" s="119"/>
      <c r="W3" s="119" t="s">
        <v>827</v>
      </c>
      <c r="X3" s="119"/>
      <c r="Y3" s="119" t="s">
        <v>828</v>
      </c>
      <c r="Z3" s="119"/>
      <c r="AA3" s="118" t="s">
        <v>829</v>
      </c>
      <c r="AB3" s="118"/>
      <c r="AC3" s="119" t="s">
        <v>830</v>
      </c>
      <c r="AD3" s="119"/>
      <c r="AE3" s="119" t="s">
        <v>831</v>
      </c>
      <c r="AF3" s="119"/>
      <c r="AG3" s="119" t="s">
        <v>832</v>
      </c>
      <c r="AH3" s="119"/>
    </row>
    <row r="4" customFormat="false" ht="15" hidden="false" customHeight="false" outlineLevel="0" collapsed="false">
      <c r="A4" s="57" t="s">
        <v>165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57" t="s">
        <v>710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7" t="s">
        <v>440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57" t="s">
        <v>711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712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713</v>
      </c>
      <c r="B10" s="59" t="s">
        <v>97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  <c r="T10" s="95" t="n">
        <f aca="false">Tech_Registry!$E$22</f>
        <v>1</v>
      </c>
      <c r="U10" s="95" t="n">
        <f aca="false">Tech_Registry!$E$22</f>
        <v>1</v>
      </c>
      <c r="V10" s="95" t="n">
        <f aca="false">Tech_Registry!$E$22</f>
        <v>1</v>
      </c>
      <c r="W10" s="95" t="n">
        <f aca="false">Tech_Registry!$E$22</f>
        <v>1</v>
      </c>
      <c r="X10" s="95" t="n">
        <f aca="false">Tech_Registry!$E$22</f>
        <v>1</v>
      </c>
      <c r="Y10" s="95" t="n">
        <f aca="false">Tech_Registry!$E$22</f>
        <v>1</v>
      </c>
      <c r="Z10" s="95" t="n">
        <f aca="false">Tech_Registry!$E$22</f>
        <v>1</v>
      </c>
      <c r="AA10" s="95" t="n">
        <f aca="false">Tech_Registry!$E$22</f>
        <v>1</v>
      </c>
      <c r="AB10" s="95" t="n">
        <f aca="false">Tech_Registry!$E$22</f>
        <v>1</v>
      </c>
      <c r="AC10" s="95" t="n">
        <f aca="false">Tech_Registry!$E$22</f>
        <v>1</v>
      </c>
      <c r="AD10" s="95" t="n">
        <f aca="false">Tech_Registry!$E$22</f>
        <v>1</v>
      </c>
      <c r="AE10" s="95" t="n">
        <f aca="false">Tech_Registry!$E$22</f>
        <v>1</v>
      </c>
      <c r="AF10" s="95" t="n">
        <f aca="false">Tech_Registry!$E$22</f>
        <v>1</v>
      </c>
      <c r="AG10" s="95" t="n">
        <f aca="false">Tech_Registry!$E$22</f>
        <v>1</v>
      </c>
      <c r="AH10" s="95" t="n">
        <f aca="false">Tech_Registry!$E$22</f>
        <v>1</v>
      </c>
    </row>
    <row r="11" customFormat="false" ht="15" hidden="false" customHeight="false" outlineLevel="0" collapsed="false">
      <c r="A11" s="59" t="s">
        <v>714</v>
      </c>
      <c r="B11" s="59" t="s">
        <v>97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  <c r="T11" s="95" t="n">
        <f aca="false">Tech_Registry!$E$23</f>
        <v>1</v>
      </c>
      <c r="U11" s="95" t="n">
        <f aca="false">Tech_Registry!$E$23</f>
        <v>1</v>
      </c>
      <c r="V11" s="95" t="n">
        <f aca="false">Tech_Registry!$E$23</f>
        <v>1</v>
      </c>
      <c r="W11" s="95" t="n">
        <f aca="false">Tech_Registry!$E$23</f>
        <v>1</v>
      </c>
      <c r="X11" s="95" t="n">
        <f aca="false">Tech_Registry!$E$23</f>
        <v>1</v>
      </c>
      <c r="Y11" s="95" t="n">
        <f aca="false">Tech_Registry!$E$23</f>
        <v>1</v>
      </c>
      <c r="Z11" s="95" t="n">
        <f aca="false">Tech_Registry!$E$23</f>
        <v>1</v>
      </c>
      <c r="AA11" s="95" t="n">
        <f aca="false">Tech_Registry!$E$23</f>
        <v>1</v>
      </c>
      <c r="AB11" s="95" t="n">
        <f aca="false">Tech_Registry!$E$23</f>
        <v>1</v>
      </c>
      <c r="AC11" s="95" t="n">
        <f aca="false">Tech_Registry!$E$23</f>
        <v>1</v>
      </c>
      <c r="AD11" s="95" t="n">
        <f aca="false">Tech_Registry!$E$23</f>
        <v>1</v>
      </c>
      <c r="AE11" s="95" t="n">
        <f aca="false">Tech_Registry!$E$23</f>
        <v>1</v>
      </c>
      <c r="AF11" s="95" t="n">
        <f aca="false">Tech_Registry!$E$23</f>
        <v>1</v>
      </c>
      <c r="AG11" s="95" t="n">
        <f aca="false">Tech_Registry!$E$23</f>
        <v>1</v>
      </c>
      <c r="AH11" s="95" t="n">
        <f aca="false">Tech_Registry!$E$23</f>
        <v>1</v>
      </c>
    </row>
    <row r="12" customFormat="false" ht="15" hidden="false" customHeight="false" outlineLevel="0" collapsed="false">
      <c r="A12" s="58" t="s">
        <v>715</v>
      </c>
      <c r="B12" s="59" t="s">
        <v>97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  <c r="T12" s="95" t="n">
        <f aca="false">Tech_Registry!$E$24</f>
        <v>1</v>
      </c>
      <c r="U12" s="95" t="n">
        <f aca="false">Tech_Registry!$E$24</f>
        <v>1</v>
      </c>
      <c r="V12" s="95" t="n">
        <f aca="false">Tech_Registry!$E$24</f>
        <v>1</v>
      </c>
      <c r="W12" s="95" t="n">
        <f aca="false">Tech_Registry!$E$24</f>
        <v>1</v>
      </c>
      <c r="X12" s="95" t="n">
        <f aca="false">Tech_Registry!$E$24</f>
        <v>1</v>
      </c>
      <c r="Y12" s="95" t="n">
        <f aca="false">Tech_Registry!$E$24</f>
        <v>1</v>
      </c>
      <c r="Z12" s="95" t="n">
        <f aca="false">Tech_Registry!$E$24</f>
        <v>1</v>
      </c>
      <c r="AA12" s="95" t="n">
        <f aca="false">Tech_Registry!$E$24</f>
        <v>1</v>
      </c>
      <c r="AB12" s="95" t="n">
        <f aca="false">Tech_Registry!$E$24</f>
        <v>1</v>
      </c>
      <c r="AC12" s="95" t="n">
        <f aca="false">Tech_Registry!$E$24</f>
        <v>1</v>
      </c>
      <c r="AD12" s="95" t="n">
        <f aca="false">Tech_Registry!$E$24</f>
        <v>1</v>
      </c>
      <c r="AE12" s="95" t="n">
        <f aca="false">Tech_Registry!$E$24</f>
        <v>1</v>
      </c>
      <c r="AF12" s="95" t="n">
        <f aca="false">Tech_Registry!$E$24</f>
        <v>1</v>
      </c>
      <c r="AG12" s="95" t="n">
        <f aca="false">Tech_Registry!$E$24</f>
        <v>1</v>
      </c>
      <c r="AH12" s="95" t="n">
        <f aca="false">Tech_Registry!$E$24</f>
        <v>1</v>
      </c>
    </row>
    <row r="13" customFormat="false" ht="15" hidden="false" customHeight="false" outlineLevel="0" collapsed="false">
      <c r="A13" s="73" t="s">
        <v>716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8" t="s">
        <v>463</v>
      </c>
      <c r="B14" s="59" t="s">
        <v>464</v>
      </c>
      <c r="C14" s="92" t="n">
        <f aca="false">INDEX(Spec_Rack!$C$35:$G$35,C$6)</f>
        <v>35</v>
      </c>
      <c r="D14" s="92" t="n">
        <f aca="false">INDEX(Spec_Rack!$C$35:$G$35,D$6)</f>
        <v>15</v>
      </c>
      <c r="E14" s="92" t="n">
        <f aca="false">INDEX(Spec_Rack!$C$35:$G$35,E$6)</f>
        <v>35</v>
      </c>
      <c r="F14" s="92" t="n">
        <f aca="false">INDEX(Spec_Rack!$C$35:$G$35,F$6)</f>
        <v>15</v>
      </c>
      <c r="G14" s="92" t="n">
        <f aca="false">INDEX(Spec_Rack!$C$35:$G$35,G$6)</f>
        <v>35</v>
      </c>
      <c r="H14" s="92" t="n">
        <f aca="false">INDEX(Spec_Rack!$C$35:$G$35,H$6)</f>
        <v>15</v>
      </c>
      <c r="I14" s="92" t="n">
        <f aca="false">INDEX(Spec_Rack!$C$35:$G$35,I$6)</f>
        <v>35</v>
      </c>
      <c r="J14" s="92" t="n">
        <f aca="false">INDEX(Spec_Rack!$C$35:$G$35,J$6)</f>
        <v>15</v>
      </c>
      <c r="K14" s="92" t="n">
        <f aca="false">INDEX(Spec_Rack!$C$35:$G$35,K$6)</f>
        <v>35</v>
      </c>
      <c r="L14" s="92" t="n">
        <f aca="false">INDEX(Spec_Rack!$C$35:$G$35,L$6)</f>
        <v>15</v>
      </c>
      <c r="M14" s="120" t="n">
        <v>50</v>
      </c>
      <c r="N14" s="92" t="n">
        <f aca="false">INDEX(Spec_Rack!$C$35:$G$35,N$6)</f>
        <v>15</v>
      </c>
      <c r="O14" s="92" t="n">
        <f aca="false">INDEX(Spec_Rack!$C$35:$G$35,O$6)</f>
        <v>35</v>
      </c>
      <c r="P14" s="92" t="n">
        <f aca="false">INDEX(Spec_Rack!$C$35:$G$35,P$6)</f>
        <v>15</v>
      </c>
      <c r="Q14" s="92" t="n">
        <f aca="false">INDEX(Spec_Rack!$C$35:$G$35,Q$6)</f>
        <v>35</v>
      </c>
      <c r="R14" s="92" t="n">
        <f aca="false">INDEX(Spec_Rack!$C$35:$G$35,R$6)</f>
        <v>15</v>
      </c>
      <c r="S14" s="92" t="n">
        <f aca="false">INDEX(Spec_Rack!$C$35:$G$35,S$6)</f>
        <v>35</v>
      </c>
      <c r="T14" s="92" t="n">
        <f aca="false">INDEX(Spec_Rack!$C$35:$G$35,T$6)</f>
        <v>15</v>
      </c>
      <c r="U14" s="92" t="n">
        <f aca="false">INDEX(Spec_Rack!$C$35:$G$35,U$6)</f>
        <v>35</v>
      </c>
      <c r="V14" s="92" t="n">
        <f aca="false">INDEX(Spec_Rack!$C$35:$G$35,V$6)</f>
        <v>15</v>
      </c>
      <c r="W14" s="92" t="n">
        <f aca="false">INDEX(Spec_Rack!$C$35:$G$35,W$6)</f>
        <v>35</v>
      </c>
      <c r="X14" s="92" t="n">
        <f aca="false">INDEX(Spec_Rack!$C$35:$G$35,X$6)</f>
        <v>15</v>
      </c>
      <c r="Y14" s="92" t="n">
        <f aca="false">INDEX(Spec_Rack!$C$35:$G$35,Y$6)</f>
        <v>35</v>
      </c>
      <c r="Z14" s="92" t="n">
        <f aca="false">INDEX(Spec_Rack!$C$35:$G$35,Z$6)</f>
        <v>15</v>
      </c>
      <c r="AA14" s="92" t="n">
        <f aca="false">INDEX(Spec_Rack!$C$35:$G$35,AA$6)</f>
        <v>35</v>
      </c>
      <c r="AB14" s="92" t="n">
        <f aca="false">INDEX(Spec_Rack!$C$35:$G$35,AB$6)</f>
        <v>15</v>
      </c>
      <c r="AC14" s="92" t="n">
        <f aca="false">INDEX(Spec_Rack!$C$35:$G$35,AC$6)</f>
        <v>35</v>
      </c>
      <c r="AD14" s="92" t="n">
        <f aca="false">INDEX(Spec_Rack!$C$35:$G$35,AD$6)</f>
        <v>15</v>
      </c>
      <c r="AE14" s="92" t="n">
        <f aca="false">INDEX(Spec_Rack!$C$35:$G$35,AE$6)</f>
        <v>35</v>
      </c>
      <c r="AF14" s="92" t="n">
        <f aca="false">INDEX(Spec_Rack!$C$35:$G$35,AF$6)</f>
        <v>15</v>
      </c>
      <c r="AG14" s="92" t="n">
        <f aca="false">INDEX(Spec_Rack!$C$35:$G$35,AG$6)</f>
        <v>35</v>
      </c>
      <c r="AH14" s="92" t="n">
        <f aca="false">INDEX(Spec_Rack!$C$35:$G$35,AH$6)</f>
        <v>15</v>
      </c>
    </row>
    <row r="15" customFormat="false" ht="15" hidden="false" customHeight="false" outlineLevel="0" collapsed="false">
      <c r="A15" s="59" t="s">
        <v>465</v>
      </c>
      <c r="B15" s="59" t="s">
        <v>717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59" t="s">
        <v>466</v>
      </c>
      <c r="B16" s="59" t="s">
        <v>348</v>
      </c>
      <c r="C16" s="93" t="n">
        <f aca="false">INDEX(Spec_Rack!$C$26:$G$26,C$6)</f>
        <v>22</v>
      </c>
      <c r="D16" s="93" t="n">
        <f aca="false">INDEX(Spec_Rack!$C$26:$G$26,D$6)</f>
        <v>8</v>
      </c>
      <c r="E16" s="93" t="n">
        <f aca="false">INDEX(Spec_Rack!$C$26:$G$26,E$6)</f>
        <v>22</v>
      </c>
      <c r="F16" s="93" t="n">
        <f aca="false">INDEX(Spec_Rack!$C$26:$G$26,F$6)</f>
        <v>8</v>
      </c>
      <c r="G16" s="93" t="n">
        <f aca="false">INDEX(Spec_Rack!$C$26:$G$26,G$6)</f>
        <v>22</v>
      </c>
      <c r="H16" s="93" t="n">
        <f aca="false">INDEX(Spec_Rack!$C$26:$G$26,H$6)</f>
        <v>8</v>
      </c>
      <c r="I16" s="93" t="n">
        <f aca="false">INDEX(Spec_Rack!$C$26:$G$26,I$6)</f>
        <v>22</v>
      </c>
      <c r="J16" s="93" t="n">
        <f aca="false">INDEX(Spec_Rack!$C$26:$G$26,J$6)</f>
        <v>8</v>
      </c>
      <c r="K16" s="93" t="n">
        <f aca="false">INDEX(Spec_Rack!$C$26:$G$26,K$6)</f>
        <v>22</v>
      </c>
      <c r="L16" s="93" t="n">
        <f aca="false">INDEX(Spec_Rack!$C$26:$G$26,L$6)</f>
        <v>8</v>
      </c>
      <c r="M16" s="93" t="n">
        <f aca="false">INDEX(Spec_Rack!$C$26:$G$26,M$6)</f>
        <v>22</v>
      </c>
      <c r="N16" s="93" t="n">
        <f aca="false">INDEX(Spec_Rack!$C$26:$G$26,N$6)</f>
        <v>8</v>
      </c>
      <c r="O16" s="93" t="n">
        <f aca="false">INDEX(Spec_Rack!$C$26:$G$26,O$6)</f>
        <v>22</v>
      </c>
      <c r="P16" s="93" t="n">
        <f aca="false">INDEX(Spec_Rack!$C$26:$G$26,P$6)</f>
        <v>8</v>
      </c>
      <c r="Q16" s="93" t="n">
        <f aca="false">INDEX(Spec_Rack!$C$26:$G$26,Q$6)</f>
        <v>22</v>
      </c>
      <c r="R16" s="93" t="n">
        <f aca="false">INDEX(Spec_Rack!$C$26:$G$26,R$6)</f>
        <v>8</v>
      </c>
      <c r="S16" s="93" t="n">
        <f aca="false">INDEX(Spec_Rack!$C$26:$G$26,S$6)</f>
        <v>22</v>
      </c>
      <c r="T16" s="93" t="n">
        <f aca="false">INDEX(Spec_Rack!$C$26:$G$26,T$6)</f>
        <v>8</v>
      </c>
      <c r="U16" s="93" t="n">
        <f aca="false">INDEX(Spec_Rack!$C$26:$G$26,U$6)</f>
        <v>22</v>
      </c>
      <c r="V16" s="93" t="n">
        <f aca="false">INDEX(Spec_Rack!$C$26:$G$26,V$6)</f>
        <v>8</v>
      </c>
      <c r="W16" s="93" t="n">
        <f aca="false">INDEX(Spec_Rack!$C$26:$G$26,W$6)</f>
        <v>22</v>
      </c>
      <c r="X16" s="93" t="n">
        <f aca="false">INDEX(Spec_Rack!$C$26:$G$26,X$6)</f>
        <v>8</v>
      </c>
      <c r="Y16" s="93" t="n">
        <f aca="false">INDEX(Spec_Rack!$C$26:$G$26,Y$6)</f>
        <v>22</v>
      </c>
      <c r="Z16" s="93" t="n">
        <f aca="false">INDEX(Spec_Rack!$C$26:$G$26,Z$6)</f>
        <v>8</v>
      </c>
      <c r="AA16" s="93" t="n">
        <f aca="false">INDEX(Spec_Rack!$C$26:$G$26,AA$6)</f>
        <v>22</v>
      </c>
      <c r="AB16" s="93" t="n">
        <f aca="false">INDEX(Spec_Rack!$C$26:$G$26,AB$6)</f>
        <v>8</v>
      </c>
      <c r="AC16" s="93" t="n">
        <f aca="false">INDEX(Spec_Rack!$C$26:$G$26,AC$6)</f>
        <v>22</v>
      </c>
      <c r="AD16" s="93" t="n">
        <f aca="false">INDEX(Spec_Rack!$C$26:$G$26,AD$6)</f>
        <v>8</v>
      </c>
      <c r="AE16" s="93" t="n">
        <f aca="false">INDEX(Spec_Rack!$C$26:$G$26,AE$6)</f>
        <v>22</v>
      </c>
      <c r="AF16" s="93" t="n">
        <f aca="false">INDEX(Spec_Rack!$C$26:$G$26,AF$6)</f>
        <v>8</v>
      </c>
      <c r="AG16" s="93" t="n">
        <f aca="false">INDEX(Spec_Rack!$C$26:$G$26,AG$6)</f>
        <v>22</v>
      </c>
      <c r="AH16" s="93" t="n">
        <f aca="false">INDEX(Spec_Rack!$C$26:$G$26,AH$6)</f>
        <v>8</v>
      </c>
    </row>
    <row r="17" customFormat="false" ht="15" hidden="false" customHeight="false" outlineLevel="0" collapsed="false">
      <c r="A17" s="59" t="s">
        <v>718</v>
      </c>
      <c r="B17" s="59" t="s">
        <v>348</v>
      </c>
      <c r="C17" s="93" t="n">
        <f aca="false">INDEX(Spec_Rack!$C$27:$G$27,C$6)</f>
        <v>1.8</v>
      </c>
      <c r="D17" s="93" t="n">
        <f aca="false">INDEX(Spec_Rack!$C$27:$G$27,D$6)</f>
        <v>0.9</v>
      </c>
      <c r="E17" s="93" t="n">
        <f aca="false">INDEX(Spec_Rack!$C$27:$G$27,E$6)</f>
        <v>1.8</v>
      </c>
      <c r="F17" s="93" t="n">
        <f aca="false">INDEX(Spec_Rack!$C$27:$G$27,F$6)</f>
        <v>0.9</v>
      </c>
      <c r="G17" s="93" t="n">
        <f aca="false">INDEX(Spec_Rack!$C$27:$G$27,G$6)</f>
        <v>1.8</v>
      </c>
      <c r="H17" s="93" t="n">
        <f aca="false">INDEX(Spec_Rack!$C$27:$G$27,H$6)</f>
        <v>0.9</v>
      </c>
      <c r="I17" s="93" t="n">
        <f aca="false">INDEX(Spec_Rack!$C$27:$G$27,I$6)</f>
        <v>1.8</v>
      </c>
      <c r="J17" s="93" t="n">
        <f aca="false">INDEX(Spec_Rack!$C$27:$G$27,J$6)</f>
        <v>0.9</v>
      </c>
      <c r="K17" s="93" t="n">
        <f aca="false">INDEX(Spec_Rack!$C$27:$G$27,K$6)</f>
        <v>1.8</v>
      </c>
      <c r="L17" s="93" t="n">
        <f aca="false">INDEX(Spec_Rack!$C$27:$G$27,L$6)</f>
        <v>0.9</v>
      </c>
      <c r="M17" s="93" t="n">
        <f aca="false">INDEX(Spec_Rack!$C$27:$G$27,M$6)</f>
        <v>1.8</v>
      </c>
      <c r="N17" s="93" t="n">
        <f aca="false">INDEX(Spec_Rack!$C$27:$G$27,N$6)</f>
        <v>0.9</v>
      </c>
      <c r="O17" s="93" t="n">
        <f aca="false">INDEX(Spec_Rack!$C$27:$G$27,O$6)</f>
        <v>1.8</v>
      </c>
      <c r="P17" s="93" t="n">
        <f aca="false">INDEX(Spec_Rack!$C$27:$G$27,P$6)</f>
        <v>0.9</v>
      </c>
      <c r="Q17" s="93" t="n">
        <f aca="false">INDEX(Spec_Rack!$C$27:$G$27,Q$6)</f>
        <v>1.8</v>
      </c>
      <c r="R17" s="93" t="n">
        <f aca="false">INDEX(Spec_Rack!$C$27:$G$27,R$6)</f>
        <v>0.9</v>
      </c>
      <c r="S17" s="93" t="n">
        <f aca="false">INDEX(Spec_Rack!$C$27:$G$27,S$6)</f>
        <v>1.8</v>
      </c>
      <c r="T17" s="93" t="n">
        <f aca="false">INDEX(Spec_Rack!$C$27:$G$27,T$6)</f>
        <v>0.9</v>
      </c>
      <c r="U17" s="93" t="n">
        <f aca="false">INDEX(Spec_Rack!$C$27:$G$27,U$6)</f>
        <v>1.8</v>
      </c>
      <c r="V17" s="93" t="n">
        <f aca="false">INDEX(Spec_Rack!$C$27:$G$27,V$6)</f>
        <v>0.9</v>
      </c>
      <c r="W17" s="93" t="n">
        <f aca="false">INDEX(Spec_Rack!$C$27:$G$27,W$6)</f>
        <v>1.8</v>
      </c>
      <c r="X17" s="93" t="n">
        <f aca="false">INDEX(Spec_Rack!$C$27:$G$27,X$6)</f>
        <v>0.9</v>
      </c>
      <c r="Y17" s="93" t="n">
        <f aca="false">INDEX(Spec_Rack!$C$27:$G$27,Y$6)</f>
        <v>1.8</v>
      </c>
      <c r="Z17" s="93" t="n">
        <f aca="false">INDEX(Spec_Rack!$C$27:$G$27,Z$6)</f>
        <v>0.9</v>
      </c>
      <c r="AA17" s="93" t="n">
        <f aca="false">INDEX(Spec_Rack!$C$27:$G$27,AA$6)</f>
        <v>1.8</v>
      </c>
      <c r="AB17" s="93" t="n">
        <f aca="false">INDEX(Spec_Rack!$C$27:$G$27,AB$6)</f>
        <v>0.9</v>
      </c>
      <c r="AC17" s="93" t="n">
        <f aca="false">INDEX(Spec_Rack!$C$27:$G$27,AC$6)</f>
        <v>1.8</v>
      </c>
      <c r="AD17" s="93" t="n">
        <f aca="false">INDEX(Spec_Rack!$C$27:$G$27,AD$6)</f>
        <v>0.9</v>
      </c>
      <c r="AE17" s="93" t="n">
        <f aca="false">INDEX(Spec_Rack!$C$27:$G$27,AE$6)</f>
        <v>1.8</v>
      </c>
      <c r="AF17" s="93" t="n">
        <f aca="false">INDEX(Spec_Rack!$C$27:$G$27,AF$6)</f>
        <v>0.9</v>
      </c>
      <c r="AG17" s="93" t="n">
        <f aca="false">INDEX(Spec_Rack!$C$27:$G$27,AG$6)</f>
        <v>1.8</v>
      </c>
      <c r="AH17" s="93" t="n">
        <f aca="false">INDEX(Spec_Rack!$C$27:$G$27,AH$6)</f>
        <v>0.9</v>
      </c>
    </row>
    <row r="18" customFormat="false" ht="15" hidden="false" customHeight="false" outlineLevel="0" collapsed="false">
      <c r="A18" s="59" t="s">
        <v>226</v>
      </c>
      <c r="B18" s="59" t="s">
        <v>719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8" t="s">
        <v>720</v>
      </c>
      <c r="B19" s="59" t="s">
        <v>258</v>
      </c>
      <c r="C19" s="94" t="n">
        <f aca="false">INDEX(Spec_Rack!$C$30:$G$30,C$6)*C12</f>
        <v>0.5625</v>
      </c>
      <c r="D19" s="94" t="n">
        <f aca="false">INDEX(Spec_Rack!$C$30:$G$30,D$6)*D12</f>
        <v>0.5625</v>
      </c>
      <c r="E19" s="94" t="n">
        <f aca="false">INDEX(Spec_Rack!$C$30:$G$30,E$6)*E12</f>
        <v>0.5625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94" t="n">
        <f aca="false">INDEX(Spec_Rack!$C$30:$G$30,R$6)*R12</f>
        <v>0.5625</v>
      </c>
      <c r="S19" s="94" t="n">
        <f aca="false">INDEX(Spec_Rack!$C$30:$G$30,S$6)*S12</f>
        <v>0.5625</v>
      </c>
      <c r="T19" s="94" t="n">
        <f aca="false">INDEX(Spec_Rack!$C$30:$G$30,T$6)*T12</f>
        <v>0.5625</v>
      </c>
      <c r="U19" s="94" t="n">
        <f aca="false">INDEX(Spec_Rack!$C$30:$G$30,U$6)*U12</f>
        <v>0.5625</v>
      </c>
      <c r="V19" s="94" t="n">
        <f aca="false">INDEX(Spec_Rack!$C$30:$G$30,V$6)*V12</f>
        <v>0.5625</v>
      </c>
      <c r="W19" s="94" t="n">
        <f aca="false">INDEX(Spec_Rack!$C$30:$G$30,W$6)*W12</f>
        <v>0.5625</v>
      </c>
      <c r="X19" s="94" t="n">
        <f aca="false">INDEX(Spec_Rack!$C$30:$G$30,X$6)*X12</f>
        <v>0.5625</v>
      </c>
      <c r="Y19" s="94" t="n">
        <f aca="false">INDEX(Spec_Rack!$C$30:$G$30,Y$6)*Y12</f>
        <v>0.5625</v>
      </c>
      <c r="Z19" s="94" t="n">
        <f aca="false">INDEX(Spec_Rack!$C$30:$G$30,Z$6)*Z12</f>
        <v>0.5625</v>
      </c>
      <c r="AA19" s="94" t="n">
        <f aca="false">INDEX(Spec_Rack!$C$30:$G$30,AA$6)*AA12</f>
        <v>0.5625</v>
      </c>
      <c r="AB19" s="94" t="n">
        <f aca="false">INDEX(Spec_Rack!$C$30:$G$30,AB$6)*AB12</f>
        <v>0.5625</v>
      </c>
      <c r="AC19" s="94" t="n">
        <f aca="false">INDEX(Spec_Rack!$C$30:$G$30,AC$6)*AC12</f>
        <v>0.5625</v>
      </c>
      <c r="AD19" s="94" t="n">
        <f aca="false">INDEX(Spec_Rack!$C$30:$G$30,AD$6)*AD12</f>
        <v>0.5625</v>
      </c>
      <c r="AE19" s="94" t="n">
        <f aca="false">INDEX(Spec_Rack!$C$30:$G$30,AE$6)*AE12</f>
        <v>0.5625</v>
      </c>
      <c r="AF19" s="94" t="n">
        <f aca="false">INDEX(Spec_Rack!$C$30:$G$30,AF$6)*AF12</f>
        <v>0.5625</v>
      </c>
      <c r="AG19" s="94" t="n">
        <f aca="false">INDEX(Spec_Rack!$C$30:$G$30,AG$6)*AG12</f>
        <v>0.5625</v>
      </c>
      <c r="AH19" s="94" t="n">
        <f aca="false">INDEX(Spec_Rack!$C$30:$G$30,AH$6)*AH12</f>
        <v>0.5625</v>
      </c>
    </row>
    <row r="20" customFormat="false" ht="15" hidden="false" customHeight="false" outlineLevel="0" collapsed="false">
      <c r="A20" s="58" t="s">
        <v>721</v>
      </c>
      <c r="B20" s="59" t="s">
        <v>258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95" t="n">
        <f aca="false">INDEX(Spec_Rack!$C$31:$G$31,R$6)*R12</f>
        <v>1</v>
      </c>
      <c r="S20" s="95" t="n">
        <f aca="false">INDEX(Spec_Rack!$C$31:$G$31,S$6)*S12</f>
        <v>1</v>
      </c>
      <c r="T20" s="95" t="n">
        <f aca="false">INDEX(Spec_Rack!$C$31:$G$31,T$6)*T12</f>
        <v>1</v>
      </c>
      <c r="U20" s="95" t="n">
        <f aca="false">INDEX(Spec_Rack!$C$31:$G$31,U$6)*U12</f>
        <v>1</v>
      </c>
      <c r="V20" s="95" t="n">
        <f aca="false">INDEX(Spec_Rack!$C$31:$G$31,V$6)*V12</f>
        <v>1</v>
      </c>
      <c r="W20" s="95" t="n">
        <f aca="false">INDEX(Spec_Rack!$C$31:$G$31,W$6)*W12</f>
        <v>1</v>
      </c>
      <c r="X20" s="95" t="n">
        <f aca="false">INDEX(Spec_Rack!$C$31:$G$31,X$6)*X12</f>
        <v>1</v>
      </c>
      <c r="Y20" s="95" t="n">
        <f aca="false">INDEX(Spec_Rack!$C$31:$G$31,Y$6)*Y12</f>
        <v>1</v>
      </c>
      <c r="Z20" s="95" t="n">
        <f aca="false">INDEX(Spec_Rack!$C$31:$G$31,Z$6)*Z12</f>
        <v>1</v>
      </c>
      <c r="AA20" s="95" t="n">
        <f aca="false">INDEX(Spec_Rack!$C$31:$G$31,AA$6)*AA12</f>
        <v>1</v>
      </c>
      <c r="AB20" s="95" t="n">
        <f aca="false">INDEX(Spec_Rack!$C$31:$G$31,AB$6)*AB12</f>
        <v>1</v>
      </c>
      <c r="AC20" s="95" t="n">
        <f aca="false">INDEX(Spec_Rack!$C$31:$G$31,AC$6)*AC12</f>
        <v>1</v>
      </c>
      <c r="AD20" s="95" t="n">
        <f aca="false">INDEX(Spec_Rack!$C$31:$G$31,AD$6)*AD12</f>
        <v>1</v>
      </c>
      <c r="AE20" s="95" t="n">
        <f aca="false">INDEX(Spec_Rack!$C$31:$G$31,AE$6)*AE12</f>
        <v>1</v>
      </c>
      <c r="AF20" s="95" t="n">
        <f aca="false">INDEX(Spec_Rack!$C$31:$G$31,AF$6)*AF12</f>
        <v>1</v>
      </c>
      <c r="AG20" s="95" t="n">
        <f aca="false">INDEX(Spec_Rack!$C$31:$G$31,AG$6)*AG12</f>
        <v>1</v>
      </c>
      <c r="AH20" s="95" t="n">
        <f aca="false">INDEX(Spec_Rack!$C$31:$G$31,AH$6)*AH12</f>
        <v>1</v>
      </c>
    </row>
    <row r="21" customFormat="false" ht="15" hidden="false" customHeight="false" outlineLevel="0" collapsed="false">
      <c r="A21" s="58" t="s">
        <v>722</v>
      </c>
      <c r="B21" s="59" t="s">
        <v>719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59" t="s">
        <v>178</v>
      </c>
      <c r="B22" s="58" t="s">
        <v>723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59" t="s">
        <v>724</v>
      </c>
      <c r="B23" s="59" t="s">
        <v>725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59" t="s">
        <v>726</v>
      </c>
      <c r="B24" s="59" t="s">
        <v>727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8" t="s">
        <v>728</v>
      </c>
      <c r="B25" s="58" t="s">
        <v>729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730</v>
      </c>
      <c r="B26" s="59" t="s">
        <v>731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732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8" t="s">
        <v>261</v>
      </c>
      <c r="B28" s="59" t="s">
        <v>258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8" t="s">
        <v>263</v>
      </c>
      <c r="B29" s="58" t="s">
        <v>264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59" t="s">
        <v>266</v>
      </c>
      <c r="B30" s="58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8" t="s">
        <v>733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8" t="s">
        <v>473</v>
      </c>
      <c r="B32" s="59" t="s">
        <v>258</v>
      </c>
      <c r="C32" s="96" t="n">
        <f aca="false">INDEX(Arch!$C$28:$E$28,C$7)</f>
        <v>20.2777777777778</v>
      </c>
      <c r="D32" s="96" t="n">
        <f aca="false">INDEX(Arch!$C$28:$E$28,D$7)</f>
        <v>20.2777777777778</v>
      </c>
      <c r="E32" s="96" t="n">
        <f aca="false">INDEX(Arch!$C$28:$E$28,E$7)</f>
        <v>20.2777777777778</v>
      </c>
      <c r="F32" s="96" t="n">
        <f aca="false">INDEX(Arch!$C$28:$E$28,F$7)</f>
        <v>20.2777777777778</v>
      </c>
      <c r="G32" s="96" t="n">
        <f aca="false">INDEX(Arch!$C$28:$E$28,G$7)</f>
        <v>20.2777777777778</v>
      </c>
      <c r="H32" s="96" t="n">
        <f aca="false">INDEX(Arch!$C$28:$E$28,H$7)</f>
        <v>20.2777777777778</v>
      </c>
      <c r="I32" s="96" t="n">
        <f aca="false">INDEX(Arch!$C$28:$E$28,I$7)</f>
        <v>20.2777777777778</v>
      </c>
      <c r="J32" s="96" t="n">
        <f aca="false">INDEX(Arch!$C$28:$E$28,J$7)</f>
        <v>20.2777777777778</v>
      </c>
      <c r="K32" s="96" t="n">
        <f aca="false">INDEX(Arch!$C$28:$E$28,K$7)</f>
        <v>20.2777777777778</v>
      </c>
      <c r="L32" s="96" t="n">
        <f aca="false">INDEX(Arch!$C$28:$E$28,L$7)</f>
        <v>20.2777777777778</v>
      </c>
      <c r="M32" s="96" t="n">
        <f aca="false">INDEX(Arch!$C$28:$E$28,M$7)</f>
        <v>20.2777777777778</v>
      </c>
      <c r="N32" s="96" t="n">
        <f aca="false">INDEX(Arch!$C$28:$E$28,N$7)</f>
        <v>20.2777777777778</v>
      </c>
      <c r="O32" s="96" t="n">
        <f aca="false">INDEX(Arch!$C$28:$E$28,O$7)</f>
        <v>20.2777777777778</v>
      </c>
      <c r="P32" s="96" t="n">
        <f aca="false">INDEX(Arch!$C$28:$E$28,P$7)</f>
        <v>20.2777777777778</v>
      </c>
      <c r="Q32" s="96" t="n">
        <f aca="false">INDEX(Arch!$C$28:$E$28,Q$7)</f>
        <v>20.2777777777778</v>
      </c>
      <c r="R32" s="96" t="n">
        <f aca="false">INDEX(Arch!$C$28:$E$28,R$7)</f>
        <v>20.2777777777778</v>
      </c>
      <c r="S32" s="96" t="n">
        <f aca="false">INDEX(Arch!$C$28:$E$28,S$7)</f>
        <v>20.2777777777778</v>
      </c>
      <c r="T32" s="96" t="n">
        <f aca="false">INDEX(Arch!$C$28:$E$28,T$7)</f>
        <v>20.2777777777778</v>
      </c>
      <c r="U32" s="96" t="n">
        <f aca="false">INDEX(Arch!$C$28:$E$28,U$7)</f>
        <v>20.2777777777778</v>
      </c>
      <c r="V32" s="96" t="n">
        <f aca="false">INDEX(Arch!$C$28:$E$28,V$7)</f>
        <v>20.2777777777778</v>
      </c>
      <c r="W32" s="96" t="n">
        <f aca="false">INDEX(Arch!$C$28:$E$28,W$7)</f>
        <v>20.2777777777778</v>
      </c>
      <c r="X32" s="96" t="n">
        <f aca="false">INDEX(Arch!$C$28:$E$28,X$7)</f>
        <v>20.2777777777778</v>
      </c>
      <c r="Y32" s="96" t="n">
        <f aca="false">INDEX(Arch!$C$28:$E$28,Y$7)</f>
        <v>20.2777777777778</v>
      </c>
      <c r="Z32" s="96" t="n">
        <f aca="false">INDEX(Arch!$C$28:$E$28,Z$7)</f>
        <v>20.2777777777778</v>
      </c>
      <c r="AA32" s="96" t="n">
        <f aca="false">INDEX(Arch!$C$28:$E$28,AA$7)</f>
        <v>20.2777777777778</v>
      </c>
      <c r="AB32" s="96" t="n">
        <f aca="false">INDEX(Arch!$C$28:$E$28,AB$7)</f>
        <v>20.2777777777778</v>
      </c>
      <c r="AC32" s="96" t="n">
        <f aca="false">INDEX(Arch!$C$28:$E$28,AC$7)</f>
        <v>49.0725806451613</v>
      </c>
      <c r="AD32" s="96" t="n">
        <f aca="false">INDEX(Arch!$C$28:$E$28,AD$7)</f>
        <v>49.0725806451613</v>
      </c>
      <c r="AE32" s="96" t="n">
        <f aca="false">INDEX(Arch!$C$28:$E$28,AE$7)</f>
        <v>49.0725806451613</v>
      </c>
      <c r="AF32" s="96" t="n">
        <f aca="false">INDEX(Arch!$C$28:$E$28,AF$7)</f>
        <v>49.0725806451613</v>
      </c>
      <c r="AG32" s="96" t="n">
        <f aca="false">INDEX(Arch!$C$28:$E$28,AG$7)</f>
        <v>49.0725806451613</v>
      </c>
      <c r="AH32" s="96" t="n">
        <f aca="false">INDEX(Arch!$C$28:$E$28,AH$7)</f>
        <v>49.0725806451613</v>
      </c>
    </row>
    <row r="33" customFormat="false" ht="15" hidden="false" customHeight="false" outlineLevel="0" collapsed="false">
      <c r="A33" s="58" t="s">
        <v>299</v>
      </c>
      <c r="B33" s="59" t="s">
        <v>258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59" t="s">
        <v>734</v>
      </c>
      <c r="B34" s="59" t="s">
        <v>258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21" t="n">
        <f aca="false">Arch!$E$21</f>
        <v>14976</v>
      </c>
      <c r="AD34" s="121" t="n">
        <f aca="false">Arch!$E$21</f>
        <v>14976</v>
      </c>
      <c r="AE34" s="121" t="n">
        <f aca="false">Arch!$E$22</f>
        <v>57600</v>
      </c>
      <c r="AF34" s="121" t="n">
        <f aca="false">Arch!$E$22</f>
        <v>57600</v>
      </c>
      <c r="AG34" s="121" t="n">
        <f aca="false">Arch!$E$23</f>
        <v>204800</v>
      </c>
      <c r="AH34" s="121" t="n">
        <f aca="false">Arch!$E$23</f>
        <v>204800</v>
      </c>
    </row>
    <row r="35" customFormat="false" ht="15" hidden="false" customHeight="false" outlineLevel="0" collapsed="false">
      <c r="A35" s="58" t="s">
        <v>475</v>
      </c>
      <c r="B35" s="59" t="s">
        <v>301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8" t="s">
        <v>276</v>
      </c>
      <c r="B36" s="59" t="s">
        <v>93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8" t="s">
        <v>735</v>
      </c>
      <c r="B37" s="59" t="s">
        <v>279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8" t="s">
        <v>281</v>
      </c>
      <c r="B38" s="59" t="s">
        <v>97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8" t="s">
        <v>283</v>
      </c>
      <c r="B39" s="59" t="s">
        <v>279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736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59" t="s">
        <v>358</v>
      </c>
      <c r="B41" s="59" t="s">
        <v>359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2" t="n">
        <v>40</v>
      </c>
      <c r="P41" s="122" t="n">
        <v>40</v>
      </c>
      <c r="Q41" s="122" t="n">
        <v>100</v>
      </c>
      <c r="R41" s="122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59" t="s">
        <v>737</v>
      </c>
      <c r="B42" s="59" t="s">
        <v>362</v>
      </c>
      <c r="C42" s="106" t="n">
        <f aca="false">INDEX(Serving!$C$22:$E$22,C$7)</f>
        <v>3</v>
      </c>
      <c r="D42" s="106" t="n">
        <f aca="false">INDEX(Serving!$C$22:$E$22,D$7)</f>
        <v>3</v>
      </c>
      <c r="E42" s="106" t="n">
        <f aca="false">INDEX(Serving!$C$22:$E$22,E$7)</f>
        <v>3</v>
      </c>
      <c r="F42" s="106" t="n">
        <f aca="false">INDEX(Serving!$C$22:$E$22,F$7)</f>
        <v>3</v>
      </c>
      <c r="G42" s="106" t="n">
        <f aca="false">INDEX(Serving!$C$22:$E$22,G$7)</f>
        <v>3</v>
      </c>
      <c r="H42" s="106" t="n">
        <f aca="false">INDEX(Serving!$C$22:$E$22,H$7)</f>
        <v>3</v>
      </c>
      <c r="I42" s="106" t="n">
        <f aca="false">INDEX(Serving!$C$22:$E$22,I$7)</f>
        <v>3</v>
      </c>
      <c r="J42" s="106" t="n">
        <f aca="false">INDEX(Serving!$C$22:$E$22,J$7)</f>
        <v>3</v>
      </c>
      <c r="K42" s="106" t="n">
        <f aca="false">INDEX(Serving!$C$22:$E$22,K$7)</f>
        <v>3</v>
      </c>
      <c r="L42" s="106" t="n">
        <f aca="false">INDEX(Serving!$C$22:$E$22,L$7)</f>
        <v>3</v>
      </c>
      <c r="M42" s="106" t="n">
        <f aca="false">INDEX(Serving!$C$22:$E$22,M$7)</f>
        <v>3</v>
      </c>
      <c r="N42" s="106" t="n">
        <f aca="false">INDEX(Serving!$C$22:$E$22,N$7)</f>
        <v>3</v>
      </c>
      <c r="O42" s="106" t="n">
        <f aca="false">INDEX(Serving!$C$22:$E$22,O$7)</f>
        <v>3</v>
      </c>
      <c r="P42" s="106" t="n">
        <f aca="false">INDEX(Serving!$C$22:$E$22,P$7)</f>
        <v>3</v>
      </c>
      <c r="Q42" s="106" t="n">
        <f aca="false">INDEX(Serving!$C$22:$E$22,Q$7)</f>
        <v>3</v>
      </c>
      <c r="R42" s="106" t="n">
        <f aca="false">INDEX(Serving!$C$22:$E$22,R$7)</f>
        <v>3</v>
      </c>
      <c r="S42" s="106" t="n">
        <f aca="false">INDEX(Serving!$C$22:$E$22,S$7)</f>
        <v>3</v>
      </c>
      <c r="T42" s="106" t="n">
        <f aca="false">INDEX(Serving!$C$22:$E$22,T$7)</f>
        <v>3</v>
      </c>
      <c r="U42" s="106" t="n">
        <f aca="false">INDEX(Serving!$C$22:$E$22,U$7)</f>
        <v>3</v>
      </c>
      <c r="V42" s="106" t="n">
        <f aca="false">INDEX(Serving!$C$22:$E$22,V$7)</f>
        <v>3</v>
      </c>
      <c r="W42" s="106" t="n">
        <f aca="false">INDEX(Serving!$C$22:$E$22,W$7)</f>
        <v>3</v>
      </c>
      <c r="X42" s="106" t="n">
        <f aca="false">INDEX(Serving!$C$22:$E$22,X$7)</f>
        <v>3</v>
      </c>
      <c r="Y42" s="106" t="n">
        <f aca="false">INDEX(Serving!$C$22:$E$22,Y$7)</f>
        <v>3</v>
      </c>
      <c r="Z42" s="106" t="n">
        <f aca="false">INDEX(Serving!$C$22:$E$22,Z$7)</f>
        <v>3</v>
      </c>
      <c r="AA42" s="106" t="n">
        <f aca="false">INDEX(Serving!$C$22:$E$22,AA$7)</f>
        <v>3</v>
      </c>
      <c r="AB42" s="106" t="n">
        <f aca="false">INDEX(Serving!$C$22:$E$22,AB$7)</f>
        <v>3</v>
      </c>
      <c r="AC42" s="106" t="n">
        <f aca="false">INDEX(Serving!$C$22:$E$22,AC$7)</f>
        <v>5</v>
      </c>
      <c r="AD42" s="106" t="n">
        <f aca="false">INDEX(Serving!$C$22:$E$22,AD$7)</f>
        <v>5</v>
      </c>
      <c r="AE42" s="106" t="n">
        <f aca="false">INDEX(Serving!$C$22:$E$22,AE$7)</f>
        <v>5</v>
      </c>
      <c r="AF42" s="106" t="n">
        <f aca="false">INDEX(Serving!$C$22:$E$22,AF$7)</f>
        <v>5</v>
      </c>
      <c r="AG42" s="106" t="n">
        <f aca="false">INDEX(Serving!$C$22:$E$22,AG$7)</f>
        <v>5</v>
      </c>
      <c r="AH42" s="106" t="n">
        <f aca="false">INDEX(Serving!$C$22:$E$22,AH$7)</f>
        <v>5</v>
      </c>
    </row>
    <row r="43" customFormat="false" ht="15" hidden="false" customHeight="false" outlineLevel="0" collapsed="false">
      <c r="A43" s="58" t="s">
        <v>738</v>
      </c>
      <c r="B43" s="59" t="s">
        <v>279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2" t="n">
        <v>4096</v>
      </c>
      <c r="X43" s="122" t="n">
        <v>4096</v>
      </c>
      <c r="Y43" s="122" t="n">
        <v>65536</v>
      </c>
      <c r="Z43" s="122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8" t="s">
        <v>365</v>
      </c>
      <c r="B44" s="59" t="s">
        <v>279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59" t="s">
        <v>366</v>
      </c>
      <c r="B45" s="59" t="s">
        <v>279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59" t="s">
        <v>367</v>
      </c>
      <c r="B46" s="59" t="s">
        <v>279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59" t="s">
        <v>739</v>
      </c>
      <c r="B47" s="59" t="s">
        <v>279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  <c r="T47" s="87" t="n">
        <f aca="false">Serving!$C$6</f>
        <v>3</v>
      </c>
      <c r="U47" s="87" t="n">
        <f aca="false">Serving!$C$6</f>
        <v>3</v>
      </c>
      <c r="V47" s="87" t="n">
        <f aca="false">Serving!$C$6</f>
        <v>3</v>
      </c>
      <c r="W47" s="87" t="n">
        <f aca="false">Serving!$C$6</f>
        <v>3</v>
      </c>
      <c r="X47" s="87" t="n">
        <f aca="false">Serving!$C$6</f>
        <v>3</v>
      </c>
      <c r="Y47" s="87" t="n">
        <f aca="false">Serving!$C$6</f>
        <v>3</v>
      </c>
      <c r="Z47" s="87" t="n">
        <f aca="false">Serving!$C$6</f>
        <v>3</v>
      </c>
      <c r="AA47" s="87" t="n">
        <f aca="false">Serving!$C$6</f>
        <v>3</v>
      </c>
      <c r="AB47" s="87" t="n">
        <f aca="false">Serving!$C$6</f>
        <v>3</v>
      </c>
      <c r="AC47" s="87" t="n">
        <f aca="false">Serving!$C$6</f>
        <v>3</v>
      </c>
      <c r="AD47" s="87" t="n">
        <f aca="false">Serving!$C$6</f>
        <v>3</v>
      </c>
      <c r="AE47" s="87" t="n">
        <f aca="false">Serving!$C$6</f>
        <v>3</v>
      </c>
      <c r="AF47" s="87" t="n">
        <f aca="false">Serving!$C$6</f>
        <v>3</v>
      </c>
      <c r="AG47" s="87" t="n">
        <f aca="false">Serving!$C$6</f>
        <v>3</v>
      </c>
      <c r="AH47" s="87" t="n">
        <f aca="false">Serving!$C$6</f>
        <v>3</v>
      </c>
    </row>
    <row r="48" customFormat="false" ht="15" hidden="false" customHeight="false" outlineLevel="0" collapsed="false">
      <c r="A48" s="58" t="s">
        <v>740</v>
      </c>
      <c r="B48" s="59" t="s">
        <v>93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8" t="s">
        <v>741</v>
      </c>
      <c r="B49" s="59" t="s">
        <v>279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8" t="s">
        <v>354</v>
      </c>
      <c r="B50" s="59" t="s">
        <v>97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78" t="n">
        <v>0.7</v>
      </c>
      <c r="AB50" s="78" t="n">
        <v>0.7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  <c r="AH50" s="95" t="n">
        <f aca="false">Serving!$C$18</f>
        <v>1</v>
      </c>
    </row>
    <row r="51" customFormat="false" ht="15" hidden="false" customHeight="false" outlineLevel="0" collapsed="false">
      <c r="A51" s="59" t="s">
        <v>742</v>
      </c>
      <c r="B51" s="59" t="s">
        <v>93</v>
      </c>
      <c r="C51" s="107" t="n">
        <f aca="false">INDEX(Calib!$C$72:$G$72,C$6)*C50</f>
        <v>0.3</v>
      </c>
      <c r="D51" s="107" t="n">
        <f aca="false">INDEX(Calib!$C$72:$G$72,D$6)*D50</f>
        <v>0.3</v>
      </c>
      <c r="E51" s="107" t="n">
        <f aca="false">INDEX(Calib!$C$72:$G$72,E$6)*E50</f>
        <v>0.3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  <c r="T51" s="107" t="n">
        <f aca="false">INDEX(Calib!$C$72:$G$72,T$6)*T50</f>
        <v>0.3</v>
      </c>
      <c r="U51" s="107" t="n">
        <f aca="false">INDEX(Calib!$C$72:$G$72,U$6)*U50</f>
        <v>0.3</v>
      </c>
      <c r="V51" s="107" t="n">
        <f aca="false">INDEX(Calib!$C$72:$G$72,V$6)*V50</f>
        <v>0.3</v>
      </c>
      <c r="W51" s="107" t="n">
        <f aca="false">INDEX(Calib!$C$72:$G$72,W$6)*W50</f>
        <v>0.3</v>
      </c>
      <c r="X51" s="107" t="n">
        <f aca="false">INDEX(Calib!$C$72:$G$72,X$6)*X50</f>
        <v>0.3</v>
      </c>
      <c r="Y51" s="107" t="n">
        <f aca="false">INDEX(Calib!$C$72:$G$72,Y$6)*Y50</f>
        <v>0.3</v>
      </c>
      <c r="Z51" s="107" t="n">
        <f aca="false">INDEX(Calib!$C$72:$G$72,Z$6)*Z50</f>
        <v>0.3</v>
      </c>
      <c r="AA51" s="107" t="n">
        <f aca="false">INDEX(Calib!$C$72:$G$72,AA$6)*AA50</f>
        <v>0.21</v>
      </c>
      <c r="AB51" s="107" t="n">
        <f aca="false">INDEX(Calib!$C$72:$G$72,AB$6)*AB50</f>
        <v>0.21</v>
      </c>
      <c r="AC51" s="107" t="n">
        <f aca="false">INDEX(Calib!$C$72:$G$72,AC$6)*AC50</f>
        <v>0.3</v>
      </c>
      <c r="AD51" s="107" t="n">
        <f aca="false">INDEX(Calib!$C$72:$G$72,AD$6)*AD50</f>
        <v>0.3</v>
      </c>
      <c r="AE51" s="107" t="n">
        <f aca="false">INDEX(Calib!$C$72:$G$72,AE$6)*AE50</f>
        <v>0.3</v>
      </c>
      <c r="AF51" s="107" t="n">
        <f aca="false">INDEX(Calib!$C$72:$G$72,AF$6)*AF50</f>
        <v>0.3</v>
      </c>
      <c r="AG51" s="107" t="n">
        <f aca="false">INDEX(Calib!$C$72:$G$72,AG$6)*AG50</f>
        <v>0.3</v>
      </c>
      <c r="AH51" s="107" t="n">
        <f aca="false">INDEX(Calib!$C$72:$G$72,AH$6)*AH50</f>
        <v>0.3</v>
      </c>
    </row>
    <row r="52" customFormat="false" ht="15" hidden="false" customHeight="false" outlineLevel="0" collapsed="false">
      <c r="A52" s="59" t="s">
        <v>743</v>
      </c>
      <c r="B52" s="59" t="s">
        <v>97</v>
      </c>
      <c r="C52" s="95" t="n">
        <f aca="false">Tech_Registry!$E$20</f>
        <v>1</v>
      </c>
      <c r="D52" s="95" t="n">
        <f aca="false">Tech_Registry!$E$20</f>
        <v>1</v>
      </c>
      <c r="E52" s="78" t="n">
        <v>0.5</v>
      </c>
      <c r="F52" s="95" t="n">
        <f aca="false">Tech_Registry!$E$20</f>
        <v>1</v>
      </c>
      <c r="G52" s="78" t="n">
        <v>1.5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  <c r="T52" s="95" t="n">
        <f aca="false">Tech_Registry!$E$20</f>
        <v>1</v>
      </c>
      <c r="U52" s="95" t="n">
        <f aca="false">Tech_Registry!$E$20</f>
        <v>1</v>
      </c>
      <c r="V52" s="95" t="n">
        <f aca="false">Tech_Registry!$E$20</f>
        <v>1</v>
      </c>
      <c r="W52" s="95" t="n">
        <f aca="false">Tech_Registry!$E$20</f>
        <v>1</v>
      </c>
      <c r="X52" s="95" t="n">
        <f aca="false">Tech_Registry!$E$20</f>
        <v>1</v>
      </c>
      <c r="Y52" s="95" t="n">
        <f aca="false">Tech_Registry!$E$20</f>
        <v>1</v>
      </c>
      <c r="Z52" s="95" t="n">
        <f aca="false">Tech_Registry!$E$20</f>
        <v>1</v>
      </c>
      <c r="AA52" s="95" t="n">
        <f aca="false">Tech_Registry!$E$20</f>
        <v>1</v>
      </c>
      <c r="AB52" s="95" t="n">
        <f aca="false">Tech_Registry!$E$20</f>
        <v>1</v>
      </c>
      <c r="AC52" s="95" t="n">
        <f aca="false">Tech_Registry!$E$20</f>
        <v>1</v>
      </c>
      <c r="AD52" s="95" t="n">
        <f aca="false">Tech_Registry!$E$20</f>
        <v>1</v>
      </c>
      <c r="AE52" s="95" t="n">
        <f aca="false">Tech_Registry!$E$20</f>
        <v>1</v>
      </c>
      <c r="AF52" s="95" t="n">
        <f aca="false">Tech_Registry!$E$20</f>
        <v>1</v>
      </c>
      <c r="AG52" s="95" t="n">
        <f aca="false">Tech_Registry!$E$20</f>
        <v>1</v>
      </c>
      <c r="AH52" s="95" t="n">
        <f aca="false">Tech_Registry!$E$20</f>
        <v>1</v>
      </c>
    </row>
    <row r="53" customFormat="false" ht="15" hidden="false" customHeight="false" outlineLevel="0" collapsed="false">
      <c r="A53" s="59" t="s">
        <v>744</v>
      </c>
      <c r="B53" s="59" t="s">
        <v>93</v>
      </c>
      <c r="C53" s="108" t="n">
        <f aca="false">INDEX(Calib!$C$70:$G$70,C$6)*C52*C50</f>
        <v>0.0357550334998836</v>
      </c>
      <c r="D53" s="108" t="n">
        <f aca="false">INDEX(Calib!$C$70:$G$70,D$6)*D52*D50</f>
        <v>0.0357550334998836</v>
      </c>
      <c r="E53" s="108" t="n">
        <f aca="false">INDEX(Calib!$C$70:$G$70,E$6)*E52*E50</f>
        <v>0.0178775167499418</v>
      </c>
      <c r="F53" s="108" t="n">
        <f aca="false">INDEX(Calib!$C$70:$G$70,F$6)*F52*F50</f>
        <v>0.0357550334998836</v>
      </c>
      <c r="G53" s="108" t="n">
        <f aca="false">INDEX(Calib!$C$70:$G$70,G$6)*G52*G50</f>
        <v>0.0536325502498254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  <c r="T53" s="108" t="n">
        <f aca="false">INDEX(Calib!$C$70:$G$70,T$6)*T52*T50</f>
        <v>0.0357550334998836</v>
      </c>
      <c r="U53" s="108" t="n">
        <f aca="false">INDEX(Calib!$C$70:$G$70,U$6)*U52*U50</f>
        <v>0.0357550334998836</v>
      </c>
      <c r="V53" s="108" t="n">
        <f aca="false">INDEX(Calib!$C$70:$G$70,V$6)*V52*V50</f>
        <v>0.0357550334998836</v>
      </c>
      <c r="W53" s="108" t="n">
        <f aca="false">INDEX(Calib!$C$70:$G$70,W$6)*W52*W50</f>
        <v>0.0357550334998836</v>
      </c>
      <c r="X53" s="108" t="n">
        <f aca="false">INDEX(Calib!$C$70:$G$70,X$6)*X52*X50</f>
        <v>0.0357550334998836</v>
      </c>
      <c r="Y53" s="108" t="n">
        <f aca="false">INDEX(Calib!$C$70:$G$70,Y$6)*Y52*Y50</f>
        <v>0.0357550334998836</v>
      </c>
      <c r="Z53" s="108" t="n">
        <f aca="false">INDEX(Calib!$C$70:$G$70,Z$6)*Z52*Z50</f>
        <v>0.0357550334998836</v>
      </c>
      <c r="AA53" s="108" t="n">
        <f aca="false">INDEX(Calib!$C$70:$G$70,AA$6)*AA52*AA50</f>
        <v>0.0250285234499185</v>
      </c>
      <c r="AB53" s="108" t="n">
        <f aca="false">INDEX(Calib!$C$70:$G$70,AB$6)*AB52*AB50</f>
        <v>0.0250285234499185</v>
      </c>
      <c r="AC53" s="108" t="n">
        <f aca="false">INDEX(Calib!$C$70:$G$70,AC$6)*AC52*AC50</f>
        <v>0.0357550334998836</v>
      </c>
      <c r="AD53" s="108" t="n">
        <f aca="false">INDEX(Calib!$C$70:$G$70,AD$6)*AD52*AD50</f>
        <v>0.0357550334998836</v>
      </c>
      <c r="AE53" s="108" t="n">
        <f aca="false">INDEX(Calib!$C$70:$G$70,AE$6)*AE52*AE50</f>
        <v>0.0357550334998836</v>
      </c>
      <c r="AF53" s="108" t="n">
        <f aca="false">INDEX(Calib!$C$70:$G$70,AF$6)*AF52*AF50</f>
        <v>0.0357550334998836</v>
      </c>
      <c r="AG53" s="108" t="n">
        <f aca="false">INDEX(Calib!$C$70:$G$70,AG$6)*AG52*AG50</f>
        <v>0.0357550334998836</v>
      </c>
      <c r="AH53" s="108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745</v>
      </c>
      <c r="B54" s="59" t="s">
        <v>97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78" t="n">
        <v>0.7</v>
      </c>
      <c r="J54" s="95" t="n">
        <f aca="false">Tech_Registry!$E$21</f>
        <v>1</v>
      </c>
      <c r="K54" s="78" t="n">
        <v>1.5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  <c r="T54" s="95" t="n">
        <f aca="false">Tech_Registry!$E$21</f>
        <v>1</v>
      </c>
      <c r="U54" s="95" t="n">
        <f aca="false">Tech_Registry!$E$21</f>
        <v>1</v>
      </c>
      <c r="V54" s="95" t="n">
        <f aca="false">Tech_Registry!$E$21</f>
        <v>1</v>
      </c>
      <c r="W54" s="95" t="n">
        <f aca="false">Tech_Registry!$E$21</f>
        <v>1</v>
      </c>
      <c r="X54" s="95" t="n">
        <f aca="false">Tech_Registry!$E$21</f>
        <v>1</v>
      </c>
      <c r="Y54" s="95" t="n">
        <f aca="false">Tech_Registry!$E$21</f>
        <v>1</v>
      </c>
      <c r="Z54" s="95" t="n">
        <f aca="false">Tech_Registry!$E$21</f>
        <v>1</v>
      </c>
      <c r="AA54" s="95" t="n">
        <f aca="false">Tech_Registry!$E$21</f>
        <v>1</v>
      </c>
      <c r="AB54" s="95" t="n">
        <f aca="false">Tech_Registry!$E$21</f>
        <v>1</v>
      </c>
      <c r="AC54" s="95" t="n">
        <f aca="false">Tech_Registry!$E$21</f>
        <v>1</v>
      </c>
      <c r="AD54" s="95" t="n">
        <f aca="false">Tech_Registry!$E$21</f>
        <v>1</v>
      </c>
      <c r="AE54" s="95" t="n">
        <f aca="false">Tech_Registry!$E$21</f>
        <v>1</v>
      </c>
      <c r="AF54" s="95" t="n">
        <f aca="false">Tech_Registry!$E$21</f>
        <v>1</v>
      </c>
      <c r="AG54" s="95" t="n">
        <f aca="false">Tech_Registry!$E$21</f>
        <v>1</v>
      </c>
      <c r="AH54" s="95" t="n">
        <f aca="false">Tech_Registry!$E$21</f>
        <v>1</v>
      </c>
    </row>
    <row r="55" customFormat="false" ht="15" hidden="false" customHeight="false" outlineLevel="0" collapsed="false">
      <c r="A55" s="58" t="s">
        <v>746</v>
      </c>
      <c r="B55" s="59" t="s">
        <v>502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59" t="s">
        <v>747</v>
      </c>
      <c r="B56" s="59" t="s">
        <v>93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8" t="s">
        <v>748</v>
      </c>
      <c r="B57" s="59" t="s">
        <v>93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8" t="s">
        <v>749</v>
      </c>
      <c r="B58" s="59" t="s">
        <v>93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59" t="s">
        <v>750</v>
      </c>
      <c r="B59" s="59" t="s">
        <v>258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  <c r="T59" s="106" t="n">
        <f aca="false">Serving!$C$12</f>
        <v>3</v>
      </c>
      <c r="U59" s="106" t="n">
        <f aca="false">Serving!$C$12</f>
        <v>3</v>
      </c>
      <c r="V59" s="106" t="n">
        <f aca="false">Serving!$C$12</f>
        <v>3</v>
      </c>
      <c r="W59" s="106" t="n">
        <f aca="false">Serving!$C$12</f>
        <v>3</v>
      </c>
      <c r="X59" s="106" t="n">
        <f aca="false">Serving!$C$12</f>
        <v>3</v>
      </c>
      <c r="Y59" s="106" t="n">
        <f aca="false">Serving!$C$12</f>
        <v>3</v>
      </c>
      <c r="Z59" s="106" t="n">
        <f aca="false">Serving!$C$12</f>
        <v>3</v>
      </c>
      <c r="AA59" s="106" t="n">
        <f aca="false">Serving!$C$12</f>
        <v>3</v>
      </c>
      <c r="AB59" s="106" t="n">
        <f aca="false">Serving!$C$12</f>
        <v>3</v>
      </c>
      <c r="AC59" s="106" t="n">
        <f aca="false">Serving!$C$12</f>
        <v>3</v>
      </c>
      <c r="AD59" s="106" t="n">
        <f aca="false">Serving!$C$12</f>
        <v>3</v>
      </c>
      <c r="AE59" s="106" t="n">
        <f aca="false">Serving!$C$12</f>
        <v>3</v>
      </c>
      <c r="AF59" s="106" t="n">
        <f aca="false">Serving!$C$12</f>
        <v>3</v>
      </c>
      <c r="AG59" s="106" t="n">
        <f aca="false">Serving!$C$12</f>
        <v>3</v>
      </c>
      <c r="AH59" s="106" t="n">
        <f aca="false">Serving!$C$12</f>
        <v>3</v>
      </c>
    </row>
    <row r="60" customFormat="false" ht="15" hidden="false" customHeight="false" outlineLevel="0" collapsed="false">
      <c r="A60" s="59" t="s">
        <v>751</v>
      </c>
      <c r="B60" s="59" t="s">
        <v>93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59" t="s">
        <v>752</v>
      </c>
      <c r="B61" s="59" t="s">
        <v>93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8" t="s">
        <v>753</v>
      </c>
      <c r="B62" s="59" t="s">
        <v>467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  <c r="T62" s="95" t="n">
        <f aca="false">Serving!$C$15</f>
        <v>0.1</v>
      </c>
      <c r="U62" s="95" t="n">
        <f aca="false">Serving!$C$15</f>
        <v>0.1</v>
      </c>
      <c r="V62" s="95" t="n">
        <f aca="false">Serving!$C$15</f>
        <v>0.1</v>
      </c>
      <c r="W62" s="95" t="n">
        <f aca="false">Serving!$C$15</f>
        <v>0.1</v>
      </c>
      <c r="X62" s="95" t="n">
        <f aca="false">Serving!$C$15</f>
        <v>0.1</v>
      </c>
      <c r="Y62" s="95" t="n">
        <f aca="false">Serving!$C$15</f>
        <v>0.1</v>
      </c>
      <c r="Z62" s="95" t="n">
        <f aca="false">Serving!$C$15</f>
        <v>0.1</v>
      </c>
      <c r="AA62" s="95" t="n">
        <f aca="false">Serving!$C$15</f>
        <v>0.1</v>
      </c>
      <c r="AB62" s="95" t="n">
        <f aca="false">Serving!$C$15</f>
        <v>0.1</v>
      </c>
      <c r="AC62" s="95" t="n">
        <f aca="false">Serving!$C$15</f>
        <v>0.1</v>
      </c>
      <c r="AD62" s="95" t="n">
        <f aca="false">Serving!$C$15</f>
        <v>0.1</v>
      </c>
      <c r="AE62" s="95" t="n">
        <f aca="false">Serving!$C$15</f>
        <v>0.1</v>
      </c>
      <c r="AF62" s="95" t="n">
        <f aca="false">Serving!$C$15</f>
        <v>0.1</v>
      </c>
      <c r="AG62" s="95" t="n">
        <f aca="false">Serving!$C$15</f>
        <v>0.1</v>
      </c>
      <c r="AH62" s="95" t="n">
        <f aca="false">Serving!$C$15</f>
        <v>0.1</v>
      </c>
    </row>
    <row r="63" customFormat="false" ht="15" hidden="false" customHeight="false" outlineLevel="0" collapsed="false">
      <c r="A63" s="73" t="s">
        <v>754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59" t="s">
        <v>755</v>
      </c>
      <c r="B64" s="59" t="s">
        <v>279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59" t="s">
        <v>480</v>
      </c>
      <c r="B65" s="59" t="s">
        <v>481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59" t="s">
        <v>756</v>
      </c>
      <c r="B66" s="59" t="s">
        <v>279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59" t="s">
        <v>483</v>
      </c>
      <c r="B67" s="59" t="s">
        <v>481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757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8" t="s">
        <v>484</v>
      </c>
      <c r="B69" s="59" t="s">
        <v>303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8" t="s">
        <v>758</v>
      </c>
      <c r="B70" s="58"/>
      <c r="C70" s="109" t="n">
        <f aca="false">MAX(1,CEILING(C32*C20/(C57*C69),1))</f>
        <v>1</v>
      </c>
      <c r="D70" s="109" t="n">
        <f aca="false">MAX(1,CEILING(D32*D20/(D57*D69),1))</f>
        <v>1</v>
      </c>
      <c r="E70" s="109" t="n">
        <f aca="false">MAX(1,CEILING(E32*E20/(E57*E69),1))</f>
        <v>1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1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  <c r="T70" s="109" t="n">
        <f aca="false">MAX(1,CEILING(T32*T20/(T57*T69),1))</f>
        <v>1</v>
      </c>
      <c r="U70" s="109" t="n">
        <f aca="false">MAX(1,CEILING(U32*U20/(U57*U69),1))</f>
        <v>1</v>
      </c>
      <c r="V70" s="109" t="n">
        <f aca="false">MAX(1,CEILING(V32*V20/(V57*V69),1))</f>
        <v>1</v>
      </c>
      <c r="W70" s="109" t="n">
        <f aca="false">MAX(1,CEILING(W32*W20/(W57*W69),1))</f>
        <v>1</v>
      </c>
      <c r="X70" s="109" t="n">
        <f aca="false">MAX(1,CEILING(X32*X20/(X57*X69),1))</f>
        <v>1</v>
      </c>
      <c r="Y70" s="109" t="n">
        <f aca="false">MAX(1,CEILING(Y32*Y20/(Y57*Y69),1))</f>
        <v>1</v>
      </c>
      <c r="Z70" s="109" t="n">
        <f aca="false">MAX(1,CEILING(Z32*Z20/(Z57*Z69),1))</f>
        <v>1</v>
      </c>
      <c r="AA70" s="109" t="n">
        <f aca="false">MAX(1,CEILING(AA32*AA20/(AA57*AA69),1))</f>
        <v>1</v>
      </c>
      <c r="AB70" s="109" t="n">
        <f aca="false">MAX(1,CEILING(AB32*AB20/(AB57*AB69),1))</f>
        <v>1</v>
      </c>
      <c r="AC70" s="109" t="n">
        <f aca="false">MAX(1,CEILING(AC32*AC20/(AC57*AC69),1))</f>
        <v>1</v>
      </c>
      <c r="AD70" s="109" t="n">
        <f aca="false">MAX(1,CEILING(AD32*AD20/(AD57*AD69),1))</f>
        <v>1</v>
      </c>
      <c r="AE70" s="109" t="n">
        <f aca="false">MAX(1,CEILING(AE32*AE20/(AE57*AE69),1))</f>
        <v>1</v>
      </c>
      <c r="AF70" s="109" t="n">
        <f aca="false">MAX(1,CEILING(AF32*AF20/(AF57*AF69),1))</f>
        <v>1</v>
      </c>
      <c r="AG70" s="109" t="n">
        <f aca="false">MAX(1,CEILING(AG32*AG20/(AG57*AG69),1))</f>
        <v>1</v>
      </c>
      <c r="AH70" s="109" t="n">
        <f aca="false">MAX(1,CEILING(AH32*AH20/(AH57*AH69),1))</f>
        <v>1</v>
      </c>
    </row>
    <row r="71" customFormat="false" ht="15" hidden="false" customHeight="false" outlineLevel="0" collapsed="false">
      <c r="A71" s="59" t="s">
        <v>759</v>
      </c>
      <c r="B71" s="59" t="s">
        <v>719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8" t="s">
        <v>487</v>
      </c>
      <c r="B72" s="59" t="s">
        <v>303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760</v>
      </c>
      <c r="B73" s="59" t="s">
        <v>93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761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59" t="s">
        <v>762</v>
      </c>
      <c r="B75" s="59" t="s">
        <v>359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59" t="s">
        <v>763</v>
      </c>
      <c r="B76" s="59" t="s">
        <v>362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9" t="s">
        <v>764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3" t="s">
        <v>765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8" t="s">
        <v>766</v>
      </c>
      <c r="B79" s="59" t="s">
        <v>492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767</v>
      </c>
      <c r="B80" s="59" t="s">
        <v>492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768</v>
      </c>
      <c r="B81" s="59" t="s">
        <v>492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769</v>
      </c>
      <c r="B82" s="59" t="s">
        <v>492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770</v>
      </c>
      <c r="B83" s="59" t="s">
        <v>492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8" t="s">
        <v>771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9" t="s">
        <v>772</v>
      </c>
      <c r="B85" s="58" t="s">
        <v>496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59" t="s">
        <v>773</v>
      </c>
      <c r="B86" s="58" t="s">
        <v>496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774</v>
      </c>
      <c r="B87" s="58" t="s">
        <v>496</v>
      </c>
      <c r="C87" s="110" t="n">
        <f aca="false">MAX(0,MIN(C85,C86))</f>
        <v>62.0883339972837</v>
      </c>
      <c r="D87" s="110" t="n">
        <f aca="false">MAX(0,MIN(D85,D86))</f>
        <v>22.7672272858794</v>
      </c>
      <c r="E87" s="110" t="n">
        <f aca="false">MAX(0,MIN(E85,E86))</f>
        <v>31.0441669986419</v>
      </c>
      <c r="F87" s="110" t="n">
        <f aca="false">MAX(0,MIN(F85,F86))</f>
        <v>22.7672272858794</v>
      </c>
      <c r="G87" s="110" t="n">
        <f aca="false">MAX(0,MIN(G85,G86))</f>
        <v>93.1325009959256</v>
      </c>
      <c r="H87" s="110" t="n">
        <f aca="false">MAX(0,MIN(H85,H86))</f>
        <v>22.7672272858794</v>
      </c>
      <c r="I87" s="110" t="n">
        <f aca="false">MAX(0,MIN(I85,I86))</f>
        <v>69.3475870508293</v>
      </c>
      <c r="J87" s="110" t="n">
        <f aca="false">MAX(0,MIN(J85,J86))</f>
        <v>22.7672272858794</v>
      </c>
      <c r="K87" s="110" t="n">
        <f aca="false">MAX(0,MIN(K85,K86))</f>
        <v>49.9895789080411</v>
      </c>
      <c r="L87" s="110" t="n">
        <f aca="false">MAX(0,MIN(L85,L86))</f>
        <v>22.7672272858794</v>
      </c>
      <c r="M87" s="110" t="n">
        <f aca="false">MAX(0,MIN(M85,M86))</f>
        <v>88.6976199961196</v>
      </c>
      <c r="N87" s="110" t="n">
        <f aca="false">MAX(0,MIN(N85,N86))</f>
        <v>22.7672272858794</v>
      </c>
      <c r="O87" s="110" t="n">
        <f aca="false">MAX(0,MIN(O85,O86))</f>
        <v>119.21870220127</v>
      </c>
      <c r="P87" s="110" t="n">
        <f aca="false">MAX(0,MIN(P85,P86))</f>
        <v>47.2516708018734</v>
      </c>
      <c r="Q87" s="110" t="n">
        <f aca="false">MAX(0,MIN(Q85,Q86))</f>
        <v>30.0953278030516</v>
      </c>
      <c r="R87" s="110" t="n">
        <f aca="false">MAX(0,MIN(R85,R86))</f>
        <v>9.0559389169228</v>
      </c>
      <c r="S87" s="110" t="n">
        <f aca="false">MAX(0,MIN(S85,S86))</f>
        <v>49.2052442546399</v>
      </c>
      <c r="T87" s="110" t="n">
        <f aca="false">MAX(0,MIN(T85,T86))</f>
        <v>17.2459031104607</v>
      </c>
      <c r="U87" s="110" t="n">
        <f aca="false">MAX(0,MIN(U85,U86))</f>
        <v>77.2088230789861</v>
      </c>
      <c r="V87" s="110" t="n">
        <f aca="false">MAX(0,MIN(V85,V86))</f>
        <v>29.2474368923233</v>
      </c>
      <c r="W87" s="110" t="n">
        <f aca="false">MAX(0,MIN(W85,W86))</f>
        <v>62.4534924532927</v>
      </c>
      <c r="X87" s="110" t="n">
        <f aca="false">MAX(0,MIN(X85,X86))</f>
        <v>22.9011275700082</v>
      </c>
      <c r="Y87" s="110" t="n">
        <f aca="false">MAX(0,MIN(Y85,Y86))</f>
        <v>60.6694251269508</v>
      </c>
      <c r="Z87" s="110" t="n">
        <f aca="false">MAX(0,MIN(Z85,Z86))</f>
        <v>22.2469263103333</v>
      </c>
      <c r="AA87" s="110" t="n">
        <f aca="false">MAX(0,MIN(AA85,AA86))</f>
        <v>36.202580744553</v>
      </c>
      <c r="AB87" s="110" t="n">
        <f aca="false">MAX(0,MIN(AB85,AB86))</f>
        <v>12.8259506485961</v>
      </c>
      <c r="AC87" s="110" t="n">
        <f aca="false">MAX(0,MIN(AC85,AC86))</f>
        <v>14.1753406636192</v>
      </c>
      <c r="AD87" s="110" t="n">
        <f aca="false">MAX(0,MIN(AD85,AD86))</f>
        <v>3.6950982485788</v>
      </c>
      <c r="AE87" s="110" t="n">
        <f aca="false">MAX(0,MIN(AE85,AE86))</f>
        <v>14.1753406636192</v>
      </c>
      <c r="AF87" s="110" t="n">
        <f aca="false">MAX(0,MIN(AF85,AF86))</f>
        <v>3.6950982485788</v>
      </c>
      <c r="AG87" s="110" t="n">
        <f aca="false">MAX(0,MIN(AG85,AG86))</f>
        <v>14.1753406636192</v>
      </c>
      <c r="AH87" s="110" t="n">
        <f aca="false">MAX(0,MIN(AH85,AH86))</f>
        <v>3.6950982485788</v>
      </c>
    </row>
    <row r="88" customFormat="false" ht="15" hidden="false" customHeight="false" outlineLevel="0" collapsed="false">
      <c r="A88" s="59" t="s">
        <v>775</v>
      </c>
      <c r="B88" s="59" t="s">
        <v>359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776</v>
      </c>
      <c r="B89" s="59" t="s">
        <v>359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777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111" t="str">
        <f aca="false">IF(R87&lt;=0,"SLO 不可達",IF(R85&lt;=R86,"SLO（"&amp;R84&amp;"）","HBM 容量"))</f>
        <v>SLO（算力）</v>
      </c>
      <c r="S90" s="111" t="str">
        <f aca="false">IF(S87&lt;=0,"SLO 不可達",IF(S85&lt;=S86,"SLO（"&amp;S84&amp;"）","HBM 容量"))</f>
        <v>SLO（算力）</v>
      </c>
      <c r="T90" s="111" t="str">
        <f aca="false">IF(T87&lt;=0,"SLO 不可達",IF(T85&lt;=T86,"SLO（"&amp;T84&amp;"）","HBM 容量"))</f>
        <v>SLO（算力）</v>
      </c>
      <c r="U90" s="111" t="str">
        <f aca="false">IF(U87&lt;=0,"SLO 不可達",IF(U85&lt;=U86,"SLO（"&amp;U84&amp;"）","HBM 容量"))</f>
        <v>SLO（算力）</v>
      </c>
      <c r="V90" s="111" t="str">
        <f aca="false">IF(V87&lt;=0,"SLO 不可達",IF(V85&lt;=V86,"SLO（"&amp;V84&amp;"）","HBM 容量"))</f>
        <v>SLO（算力）</v>
      </c>
      <c r="W90" s="111" t="str">
        <f aca="false">IF(W87&lt;=0,"SLO 不可達",IF(W85&lt;=W86,"SLO（"&amp;W84&amp;"）","HBM 容量"))</f>
        <v>SLO（算力）</v>
      </c>
      <c r="X90" s="111" t="str">
        <f aca="false">IF(X87&lt;=0,"SLO 不可達",IF(X85&lt;=X86,"SLO（"&amp;X84&amp;"）","HBM 容量"))</f>
        <v>SLO（算力）</v>
      </c>
      <c r="Y90" s="111" t="str">
        <f aca="false">IF(Y87&lt;=0,"SLO 不可達",IF(Y85&lt;=Y86,"SLO（"&amp;Y84&amp;"）","HBM 容量"))</f>
        <v>SLO（算力）</v>
      </c>
      <c r="Z90" s="111" t="str">
        <f aca="false">IF(Z87&lt;=0,"SLO 不可達",IF(Z85&lt;=Z86,"SLO（"&amp;Z84&amp;"）","HBM 容量"))</f>
        <v>SLO（算力）</v>
      </c>
      <c r="AA90" s="111" t="str">
        <f aca="false">IF(AA87&lt;=0,"SLO 不可達",IF(AA85&lt;=AA86,"SLO（"&amp;AA84&amp;"）","HBM 容量"))</f>
        <v>SLO（算力）</v>
      </c>
      <c r="AB90" s="111" t="str">
        <f aca="false">IF(AB87&lt;=0,"SLO 不可達",IF(AB85&lt;=AB86,"SLO（"&amp;AB84&amp;"）","HBM 容量"))</f>
        <v>SLO（算力）</v>
      </c>
      <c r="AC90" s="111" t="str">
        <f aca="false">IF(AC87&lt;=0,"SLO 不可達",IF(AC85&lt;=AC86,"SLO（"&amp;AC84&amp;"）","HBM 容量"))</f>
        <v>SLO（算力）</v>
      </c>
      <c r="AD90" s="111" t="str">
        <f aca="false">IF(AD87&lt;=0,"SLO 不可達",IF(AD85&lt;=AD86,"SLO（"&amp;AD84&amp;"）","HBM 容量"))</f>
        <v>SLO（算力）</v>
      </c>
      <c r="AE90" s="111" t="str">
        <f aca="false">IF(AE87&lt;=0,"SLO 不可達",IF(AE85&lt;=AE86,"SLO（"&amp;AE84&amp;"）","HBM 容量"))</f>
        <v>SLO（算力）</v>
      </c>
      <c r="AF90" s="111" t="str">
        <f aca="false">IF(AF87&lt;=0,"SLO 不可達",IF(AF85&lt;=AF86,"SLO（"&amp;AF84&amp;"）","HBM 容量"))</f>
        <v>SLO（算力）</v>
      </c>
      <c r="AG90" s="111" t="str">
        <f aca="false">IF(AG87&lt;=0,"SLO 不可達",IF(AG85&lt;=AG86,"SLO（"&amp;AG84&amp;"）","HBM 容量"))</f>
        <v>SLO（算力）</v>
      </c>
      <c r="AH90" s="111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9" t="s">
        <v>778</v>
      </c>
      <c r="B91" s="59" t="s">
        <v>93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779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780</v>
      </c>
      <c r="B93" s="59" t="s">
        <v>781</v>
      </c>
      <c r="C93" s="112" t="n">
        <f aca="false">IF(C88&gt;0,C43/C75+C44/C88,"SLO 不可達")</f>
        <v>0.714671455168045</v>
      </c>
      <c r="D93" s="112" t="n">
        <f aca="false">IF(D88&gt;0,D43/D75+D44/D88,"SLO 不可達")</f>
        <v>1.86738593450399</v>
      </c>
      <c r="E93" s="112" t="n">
        <f aca="false">IF(E88&gt;0,E43/E75+E44/E88,"SLO 不可達")</f>
        <v>1.22213703330823</v>
      </c>
      <c r="F93" s="112" t="n">
        <f aca="false">IF(F88&gt;0,F43/F75+F44/F88,"SLO 不可達")</f>
        <v>1.86738593450399</v>
      </c>
      <c r="G93" s="112" t="n">
        <f aca="false">IF(G88&gt;0,G43/G75+G44/G88,"SLO 不可達")</f>
        <v>0.545516262454651</v>
      </c>
      <c r="H93" s="112" t="n">
        <f aca="false">IF(H88&gt;0,H43/H75+H44/H88,"SLO 不可達")</f>
        <v>1.86738593450399</v>
      </c>
      <c r="I93" s="112" t="n">
        <f aca="false">IF(I88&gt;0,I43/I75+I44/I88,"SLO 不可達")</f>
        <v>0.66155034159587</v>
      </c>
      <c r="J93" s="112" t="n">
        <f aca="false">IF(J88&gt;0,J43/J75+J44/J88,"SLO 不可達")</f>
        <v>1.86738593450399</v>
      </c>
      <c r="K93" s="112" t="n">
        <f aca="false">IF(K88&gt;0,K43/K75+K44/K88,"SLO 不可達")</f>
        <v>0.837491088384667</v>
      </c>
      <c r="L93" s="112" t="n">
        <f aca="false">IF(L88&gt;0,L43/L75+L44/L88,"SLO 不可達")</f>
        <v>1.86738593450399</v>
      </c>
      <c r="M93" s="112" t="n">
        <f aca="false">IF(M88&gt;0,M43/M75+M44/M88,"SLO 不可達")</f>
        <v>0.500270018617632</v>
      </c>
      <c r="N93" s="112" t="n">
        <f aca="false">IF(N88&gt;0,N43/N75+N44/N88,"SLO 不可達")</f>
        <v>1.86738593450399</v>
      </c>
      <c r="O93" s="112" t="n">
        <f aca="false">IF(O88&gt;0,O43/O75+O44/O88,"SLO 不可達")</f>
        <v>0.636668696657976</v>
      </c>
      <c r="P93" s="112" t="n">
        <f aca="false">IF(P88&gt;0,P43/P75+P44/P88,"SLO 不可達")</f>
        <v>1.56703994770298</v>
      </c>
      <c r="Q93" s="112" t="n">
        <f aca="false">IF(Q88&gt;0,Q43/Q75+Q44/Q88,"SLO 不可達")</f>
        <v>0.887710177696201</v>
      </c>
      <c r="R93" s="112" t="n">
        <f aca="false">IF(R88&gt;0,R43/R75+R44/R88,"SLO 不可達")</f>
        <v>2.74497973257395</v>
      </c>
      <c r="S93" s="112" t="n">
        <f aca="false">IF(S88&gt;0,S43/S75+S44/S88,"SLO 不可達")</f>
        <v>0.847537873849954</v>
      </c>
      <c r="T93" s="112" t="n">
        <f aca="false">IF(T88&gt;0,T43/T75+T44/T88,"SLO 不可達")</f>
        <v>2.31044717328748</v>
      </c>
      <c r="U93" s="112" t="n">
        <f aca="false">IF(U88&gt;0,U43/U75+U44/U88,"SLO 不可達")</f>
        <v>0.615289967047722</v>
      </c>
      <c r="V93" s="112" t="n">
        <f aca="false">IF(V88&gt;0,V43/V75+V44/V88,"SLO 不可達")</f>
        <v>1.56076084104835</v>
      </c>
      <c r="W93" s="112" t="n">
        <f aca="false">IF(W88&gt;0,W43/W75+W44/W88,"SLO 不可達")</f>
        <v>0.549469571762264</v>
      </c>
      <c r="X93" s="112" t="n">
        <f aca="false">IF(X88&gt;0,X43/X75+X44/X88,"SLO 不可達")</f>
        <v>1.48074655308998</v>
      </c>
      <c r="Y93" s="112" t="n">
        <f aca="false">IF(Y88&gt;0,Y43/Y75+Y44/Y88,"SLO 不可達")</f>
        <v>1.35789222176835</v>
      </c>
      <c r="Z93" s="112" t="n">
        <f aca="false">IF(Z88&gt;0,Z43/Z75+Z44/Z88,"SLO 不可達")</f>
        <v>3.37290767044014</v>
      </c>
      <c r="AA93" s="112" t="n">
        <f aca="false">IF(AA88&gt;0,AA43/AA75+AA44/AA88,"SLO 不可達")</f>
        <v>1.16632459033734</v>
      </c>
      <c r="AB93" s="112" t="n">
        <f aca="false">IF(AB88&gt;0,AB43/AB75+AB44/AB88,"SLO 不可達")</f>
        <v>3.14724430621229</v>
      </c>
      <c r="AC93" s="112" t="n">
        <f aca="false">IF(AC88&gt;0,AC43/AC75+AC44/AC88,"SLO 不可達")</f>
        <v>6.62847288948946</v>
      </c>
      <c r="AD93" s="112" t="n">
        <f aca="false">IF(AD88&gt;0,AD43/AD75+AD44/AD88,"SLO 不可達")</f>
        <v>23.3623109173702</v>
      </c>
      <c r="AE93" s="112" t="n">
        <f aca="false">IF(AE88&gt;0,AE43/AE75+AE44/AE88,"SLO 不可達")</f>
        <v>6.62847288948946</v>
      </c>
      <c r="AF93" s="112" t="n">
        <f aca="false">IF(AF88&gt;0,AF43/AF75+AF44/AF88,"SLO 不可達")</f>
        <v>23.3623109173702</v>
      </c>
      <c r="AG93" s="112" t="n">
        <f aca="false">IF(AG88&gt;0,AG43/AG75+AG44/AG88,"SLO 不可達")</f>
        <v>6.62847288948946</v>
      </c>
      <c r="AH93" s="112" t="n">
        <f aca="false">IF(AH88&gt;0,AH43/AH75+AH44/AH88,"SLO 不可達")</f>
        <v>23.3623109173702</v>
      </c>
    </row>
    <row r="94" customFormat="false" ht="15" hidden="false" customHeight="false" outlineLevel="0" collapsed="false">
      <c r="A94" s="59" t="s">
        <v>782</v>
      </c>
      <c r="B94" s="59" t="s">
        <v>93</v>
      </c>
      <c r="C94" s="83" t="n">
        <f aca="false">IF(ISNUMBER(C93),IF(C93&gt;0,(C43/C75)/C93,0),C93)</f>
        <v>0.289931653950194</v>
      </c>
      <c r="D94" s="83" t="n">
        <f aca="false">IF(ISNUMBER(D93),IF(D93&gt;0,(D43/D75)/D93,0),D93)</f>
        <v>0.258907583482522</v>
      </c>
      <c r="E94" s="83" t="n">
        <f aca="false">IF(ISNUMBER(E93),IF(E93&gt;0,(E43/E75)/E93,0),E93)</f>
        <v>0.169543898417818</v>
      </c>
      <c r="F94" s="83" t="n">
        <f aca="false">IF(ISNUMBER(F93),IF(F93&gt;0,(F43/F75)/F93,0),F93)</f>
        <v>0.258907583482522</v>
      </c>
      <c r="G94" s="83" t="n">
        <f aca="false">IF(ISNUMBER(G93),IF(G93&gt;0,(G43/G75)/G93,0),G93)</f>
        <v>0.379834463771074</v>
      </c>
      <c r="H94" s="83" t="n">
        <f aca="false">IF(ISNUMBER(H93),IF(H93&gt;0,(H43/H75)/H93,0),H93)</f>
        <v>0.258907583482522</v>
      </c>
      <c r="I94" s="83" t="n">
        <f aca="false">IF(ISNUMBER(I93),IF(I93&gt;0,(I43/I75)/I93,0),I93)</f>
        <v>0.313212561462846</v>
      </c>
      <c r="J94" s="83" t="n">
        <f aca="false">IF(ISNUMBER(J93),IF(J93&gt;0,(J43/J75)/J93,0),J93)</f>
        <v>0.258907583482522</v>
      </c>
      <c r="K94" s="83" t="n">
        <f aca="false">IF(ISNUMBER(K93),IF(K93&gt;0,(K43/K75)/K93,0),K93)</f>
        <v>0.247412635073547</v>
      </c>
      <c r="L94" s="83" t="n">
        <f aca="false">IF(ISNUMBER(L93),IF(L93&gt;0,(L43/L75)/L93,0),L93)</f>
        <v>0.258907583482522</v>
      </c>
      <c r="M94" s="83" t="n">
        <f aca="false">IF(ISNUMBER(M93),IF(M93&gt;0,(M43/M75)/M93,0),M93)</f>
        <v>0.289931653950194</v>
      </c>
      <c r="N94" s="83" t="n">
        <f aca="false">IF(ISNUMBER(N93),IF(N93&gt;0,(N43/N75)/N93,0),N93)</f>
        <v>0.258907583482522</v>
      </c>
      <c r="O94" s="83" t="n">
        <f aca="false">IF(ISNUMBER(O93),IF(O93&gt;0,(O43/O75)/O93,0),O93)</f>
        <v>0.325453219414643</v>
      </c>
      <c r="P94" s="83" t="n">
        <f aca="false">IF(ISNUMBER(P93),IF(P93&gt;0,(P43/P75)/P93,0),P93)</f>
        <v>0.30853098572272</v>
      </c>
      <c r="Q94" s="83" t="n">
        <f aca="false">IF(ISNUMBER(Q93),IF(Q93&gt;0,(Q43/Q75)/Q93,0),Q93)</f>
        <v>0.233416133141119</v>
      </c>
      <c r="R94" s="83" t="n">
        <f aca="false">IF(ISNUMBER(R93),IF(R93&gt;0,(R43/R75)/R93,0),R93)</f>
        <v>0.176132586333643</v>
      </c>
      <c r="S94" s="83" t="n">
        <f aca="false">IF(ISNUMBER(S93),IF(S93&gt;0,(S43/S75)/S93,0),S93)</f>
        <v>0.244479784822626</v>
      </c>
      <c r="T94" s="83" t="n">
        <f aca="false">IF(ISNUMBER(T93),IF(T93&gt;0,(T43/T75)/T93,0),T93)</f>
        <v>0.209258357136012</v>
      </c>
      <c r="U94" s="83" t="n">
        <f aca="false">IF(ISNUMBER(U93),IF(U93&gt;0,(U43/U75)/U93,0),U93)</f>
        <v>0.336761345259823</v>
      </c>
      <c r="V94" s="83" t="n">
        <f aca="false">IF(ISNUMBER(V93),IF(V93&gt;0,(V43/V75)/V93,0),V93)</f>
        <v>0.309772238651843</v>
      </c>
      <c r="W94" s="83" t="n">
        <f aca="false">IF(ISNUMBER(W93),IF(W93&gt;0,(W43/W75)/W93,0),W93)</f>
        <v>0.0818445449226446</v>
      </c>
      <c r="X94" s="83" t="n">
        <f aca="false">IF(ISNUMBER(X93),IF(X93&gt;0,(X43/X75)/X93,0),X93)</f>
        <v>0.0708646163858247</v>
      </c>
      <c r="Y94" s="83" t="n">
        <f aca="false">IF(ISNUMBER(Y93),IF(Y93&gt;0,(Y43/Y75)/Y93,0),Y93)</f>
        <v>0.617544055761339</v>
      </c>
      <c r="Z94" s="83" t="n">
        <f aca="false">IF(ISNUMBER(Z93),IF(Z93&gt;0,(Z43/Z75)/Z93,0),Z93)</f>
        <v>0.580103624030048</v>
      </c>
      <c r="AA94" s="83" t="n">
        <f aca="false">IF(ISNUMBER(AA93),IF(AA93&gt;0,(AA43/AA75)/AA93,0),AA93)</f>
        <v>0.253795897133982</v>
      </c>
      <c r="AB94" s="83" t="n">
        <f aca="false">IF(ISNUMBER(AB93),IF(AB93&gt;0,(AB43/AB75)/AB93,0),AB93)</f>
        <v>0.219457464867348</v>
      </c>
      <c r="AC94" s="83" t="n">
        <f aca="false">IF(ISNUMBER(AC93),IF(AC93&gt;0,(AC43/AC75)/AC93,0),AC93)</f>
        <v>0.207406932505661</v>
      </c>
      <c r="AD94" s="83" t="n">
        <f aca="false">IF(ISNUMBER(AD93),IF(AD93&gt;0,(AD43/AD75)/AD93,0),AD93)</f>
        <v>0.13730859985668</v>
      </c>
      <c r="AE94" s="83" t="n">
        <f aca="false">IF(ISNUMBER(AE93),IF(AE93&gt;0,(AE43/AE75)/AE93,0),AE93)</f>
        <v>0.207406932505661</v>
      </c>
      <c r="AF94" s="83" t="n">
        <f aca="false">IF(ISNUMBER(AF93),IF(AF93&gt;0,(AF43/AF75)/AF93,0),AF93)</f>
        <v>0.13730859985668</v>
      </c>
      <c r="AG94" s="83" t="n">
        <f aca="false">IF(ISNUMBER(AG93),IF(AG93&gt;0,(AG43/AG75)/AG93,0),AG93)</f>
        <v>0.207406932505661</v>
      </c>
      <c r="AH94" s="83" t="n">
        <f aca="false">IF(ISNUMBER(AH93),IF(AH93&gt;0,(AH43/AH75)/AH93,0),AH93)</f>
        <v>0.13730859985668</v>
      </c>
    </row>
    <row r="95" customFormat="false" ht="15" hidden="false" customHeight="false" outlineLevel="0" collapsed="false">
      <c r="A95" s="58" t="s">
        <v>783</v>
      </c>
      <c r="B95" s="59" t="s">
        <v>359</v>
      </c>
      <c r="C95" s="68" t="n">
        <f aca="false">IF(ISNUMBER(C93),IF(C93&gt;0,C22*(C43+C44)/C93,0),C93)</f>
        <v>1856942.7817541</v>
      </c>
      <c r="D95" s="68" t="n">
        <f aca="false">IF(ISNUMBER(D93),IF(D93&gt;0,D22*(D43+D44)/D93,0),D93)</f>
        <v>710674.732779595</v>
      </c>
      <c r="E95" s="68" t="n">
        <f aca="false">IF(ISNUMBER(E93),IF(E93&gt;0,E22*(E43+E44)/E93,0),E93)</f>
        <v>1085888.05005576</v>
      </c>
      <c r="F95" s="68" t="n">
        <f aca="false">IF(ISNUMBER(F93),IF(F93&gt;0,F22*(F43+F44)/F93,0),F93)</f>
        <v>710674.732779595</v>
      </c>
      <c r="G95" s="68" t="n">
        <f aca="false">IF(ISNUMBER(G93),IF(G93&gt;0,G22*(G43+G44)/G93,0),G93)</f>
        <v>2432748.73975058</v>
      </c>
      <c r="H95" s="68" t="n">
        <f aca="false">IF(ISNUMBER(H93),IF(H93&gt;0,H22*(H43+H44)/H93,0),H93)</f>
        <v>710674.732779595</v>
      </c>
      <c r="I95" s="68" t="n">
        <f aca="false">IF(ISNUMBER(I93),IF(I93&gt;0,I22*(I43+I44)/I93,0),I93)</f>
        <v>2006051.41673512</v>
      </c>
      <c r="J95" s="68" t="n">
        <f aca="false">IF(ISNUMBER(J93),IF(J93&gt;0,J22*(J43+J44)/J93,0),J93)</f>
        <v>710674.732779595</v>
      </c>
      <c r="K95" s="68" t="n">
        <f aca="false">IF(ISNUMBER(K93),IF(K93&gt;0,K22*(K43+K44)/K93,0),K93)</f>
        <v>1584618.6525515</v>
      </c>
      <c r="L95" s="68" t="n">
        <f aca="false">IF(ISNUMBER(L93),IF(L93&gt;0,L22*(L43+L44)/L93,0),L93)</f>
        <v>710674.732779595</v>
      </c>
      <c r="M95" s="68" t="n">
        <f aca="false">IF(ISNUMBER(M93),IF(M93&gt;0,M22*(M43+M44)/M93,0),M93)</f>
        <v>2652775.40250586</v>
      </c>
      <c r="N95" s="68" t="n">
        <f aca="false">IF(ISNUMBER(N93),IF(N93&gt;0,N22*(N43+N44)/N93,0),N93)</f>
        <v>710674.732779595</v>
      </c>
      <c r="O95" s="68" t="n">
        <f aca="false">IF(ISNUMBER(O93),IF(O93&gt;0,O22*(O43+O44)/O93,0),O93)</f>
        <v>2084449.89830077</v>
      </c>
      <c r="P95" s="68" t="n">
        <f aca="false">IF(ISNUMBER(P93),IF(P93&gt;0,P22*(P43+P44)/P93,0),P93)</f>
        <v>846885.876741888</v>
      </c>
      <c r="Q95" s="68" t="n">
        <f aca="false">IF(ISNUMBER(Q93),IF(Q93&gt;0,Q22*(Q43+Q44)/Q93,0),Q93)</f>
        <v>1494974.41095485</v>
      </c>
      <c r="R95" s="68" t="n">
        <f aca="false">IF(ISNUMBER(R93),IF(R93&gt;0,R22*(R43+R44)/R93,0),R93)</f>
        <v>483465.864702609</v>
      </c>
      <c r="S95" s="68" t="n">
        <f aca="false">IF(ISNUMBER(S93),IF(S93&gt;0,S22*(S43+S44)/S93,0),S93)</f>
        <v>1565834.44934633</v>
      </c>
      <c r="T95" s="68" t="n">
        <f aca="false">IF(ISNUMBER(T93),IF(T93&gt;0,T22*(T43+T44)/T93,0),T93)</f>
        <v>574392.70429702</v>
      </c>
      <c r="U95" s="68" t="n">
        <f aca="false">IF(ISNUMBER(U93),IF(U93&gt;0,U22*(U43+U44)/U93,0),U93)</f>
        <v>2156875.73513948</v>
      </c>
      <c r="V95" s="68" t="n">
        <f aca="false">IF(ISNUMBER(V93),IF(V93&gt;0,V22*(V43+V44)/V93,0),V93)</f>
        <v>850292.988584077</v>
      </c>
      <c r="W95" s="68" t="n">
        <f aca="false">IF(ISNUMBER(W93),IF(W93&gt;0,W22*(W43+W44)/W93,0),W93)</f>
        <v>805081.887576109</v>
      </c>
      <c r="X95" s="68" t="n">
        <f aca="false">IF(ISNUMBER(X93),IF(X93&gt;0,X22*(X43+X44)/X93,0),X93)</f>
        <v>298746.601217393</v>
      </c>
      <c r="Y95" s="68" t="n">
        <f aca="false">IF(ISNUMBER(Y93),IF(Y93&gt;0,Y22*(Y43+Y44)/Y93,0),Y93)</f>
        <v>3583530.35829535</v>
      </c>
      <c r="Z95" s="68" t="n">
        <f aca="false">IF(ISNUMBER(Z93),IF(Z93&gt;0,Z22*(Z43+Z44)/Z93,0),Z93)</f>
        <v>1442686.39270669</v>
      </c>
      <c r="AA95" s="68" t="n">
        <f aca="false">IF(ISNUMBER(AA93),IF(AA93&gt;0,AA22*(AA43+AA44)/AA93,0),AA93)</f>
        <v>1137851.34172311</v>
      </c>
      <c r="AB95" s="68" t="n">
        <f aca="false">IF(ISNUMBER(AB93),IF(AB93&gt;0,AB22*(AB43+AB44)/AB93,0),AB93)</f>
        <v>421671.74546331</v>
      </c>
      <c r="AC95" s="68" t="n">
        <f aca="false">IF(ISNUMBER(AC93),IF(AC93&gt;0,AC22*(AC43+AC44)/AC93,0),AC93)</f>
        <v>400425.262990618</v>
      </c>
      <c r="AD95" s="68" t="n">
        <f aca="false">IF(ISNUMBER(AD93),IF(AD93&gt;0,AD22*(AD43+AD44)/AD93,0),AD93)</f>
        <v>113610.678728985</v>
      </c>
      <c r="AE95" s="68" t="n">
        <f aca="false">IF(ISNUMBER(AE93),IF(AE93&gt;0,AE22*(AE43+AE44)/AE93,0),AE93)</f>
        <v>400425.262990618</v>
      </c>
      <c r="AF95" s="68" t="n">
        <f aca="false">IF(ISNUMBER(AF93),IF(AF93&gt;0,AF22*(AF43+AF44)/AF93,0),AF93)</f>
        <v>113610.678728985</v>
      </c>
      <c r="AG95" s="68" t="n">
        <f aca="false">IF(ISNUMBER(AG93),IF(AG93&gt;0,AG22*(AG43+AG44)/AG93,0),AG93)</f>
        <v>400425.262990618</v>
      </c>
      <c r="AH95" s="68" t="n">
        <f aca="false">IF(ISNUMBER(AH93),IF(AH93&gt;0,AH22*(AH43+AH44)/AH93,0),AH93)</f>
        <v>113610.678728985</v>
      </c>
    </row>
    <row r="96" customFormat="false" ht="15" hidden="false" customHeight="false" outlineLevel="0" collapsed="false">
      <c r="A96" s="58" t="s">
        <v>784</v>
      </c>
      <c r="B96" s="59" t="s">
        <v>359</v>
      </c>
      <c r="C96" s="65" t="n">
        <f aca="false">IF(ISNUMBER(C95),C95*C44/(C43+C44),C95)</f>
        <v>206326.975750455</v>
      </c>
      <c r="D96" s="65" t="n">
        <f aca="false">IF(ISNUMBER(D95),D95*D44/(D43+D44),D95)</f>
        <v>78963.8591977328</v>
      </c>
      <c r="E96" s="65" t="n">
        <f aca="false">IF(ISNUMBER(E95),E95*E44/(E43+E44),E95)</f>
        <v>120654.227783973</v>
      </c>
      <c r="F96" s="65" t="n">
        <f aca="false">IF(ISNUMBER(F95),F95*F44/(F43+F44),F95)</f>
        <v>78963.8591977328</v>
      </c>
      <c r="G96" s="65" t="n">
        <f aca="false">IF(ISNUMBER(G95),G95*G44/(G43+G44),G95)</f>
        <v>270305.415527842</v>
      </c>
      <c r="H96" s="65" t="n">
        <f aca="false">IF(ISNUMBER(H95),H95*H44/(H43+H44),H95)</f>
        <v>78963.8591977328</v>
      </c>
      <c r="I96" s="65" t="n">
        <f aca="false">IF(ISNUMBER(I95),I95*I44/(I43+I44),I95)</f>
        <v>222894.601859458</v>
      </c>
      <c r="J96" s="65" t="n">
        <f aca="false">IF(ISNUMBER(J95),J95*J44/(J43+J44),J95)</f>
        <v>78963.8591977328</v>
      </c>
      <c r="K96" s="65" t="n">
        <f aca="false">IF(ISNUMBER(K95),K95*K44/(K43+K44),K95)</f>
        <v>176068.739172389</v>
      </c>
      <c r="L96" s="65" t="n">
        <f aca="false">IF(ISNUMBER(L95),L95*L44/(L43+L44),L95)</f>
        <v>78963.8591977328</v>
      </c>
      <c r="M96" s="65" t="n">
        <f aca="false">IF(ISNUMBER(M95),M95*M44/(M43+M44),M95)</f>
        <v>294752.822500651</v>
      </c>
      <c r="N96" s="65" t="n">
        <f aca="false">IF(ISNUMBER(N95),N95*N44/(N43+N44),N95)</f>
        <v>78963.8591977328</v>
      </c>
      <c r="O96" s="65" t="n">
        <f aca="false">IF(ISNUMBER(O95),O95*O44/(O43+O44),O95)</f>
        <v>231605.544255641</v>
      </c>
      <c r="P96" s="65" t="n">
        <f aca="false">IF(ISNUMBER(P95),P95*P44/(P43+P44),P95)</f>
        <v>94098.4307490987</v>
      </c>
      <c r="Q96" s="65" t="n">
        <f aca="false">IF(ISNUMBER(Q95),Q95*Q44/(Q43+Q44),Q95)</f>
        <v>166108.267883872</v>
      </c>
      <c r="R96" s="65" t="n">
        <f aca="false">IF(ISNUMBER(R95),R95*R44/(R43+R44),R95)</f>
        <v>53718.429411401</v>
      </c>
      <c r="S96" s="65" t="n">
        <f aca="false">IF(ISNUMBER(S95),S95*S44/(S43+S44),S95)</f>
        <v>173981.605482925</v>
      </c>
      <c r="T96" s="65" t="n">
        <f aca="false">IF(ISNUMBER(T95),T95*T44/(T43+T44),T95)</f>
        <v>63821.4115885577</v>
      </c>
      <c r="U96" s="65" t="n">
        <f aca="false">IF(ISNUMBER(U95),U95*U44/(U43+U44),U95)</f>
        <v>239652.859459942</v>
      </c>
      <c r="V96" s="65" t="n">
        <f aca="false">IF(ISNUMBER(V95),V95*V44/(V43+V44),V95)</f>
        <v>94476.9987315641</v>
      </c>
      <c r="W96" s="65" t="n">
        <f aca="false">IF(ISNUMBER(W95),W95*W44/(W43+W44),W95)</f>
        <v>268360.629192036</v>
      </c>
      <c r="X96" s="65" t="n">
        <f aca="false">IF(ISNUMBER(X95),X95*X44/(X43+X44),X95)</f>
        <v>99582.2004057975</v>
      </c>
      <c r="Y96" s="65" t="n">
        <f aca="false">IF(ISNUMBER(Y95),Y95*Y44/(Y43+Y44),Y95)</f>
        <v>108591.829039253</v>
      </c>
      <c r="Z96" s="65" t="n">
        <f aca="false">IF(ISNUMBER(Z95),Z95*Z44/(Z43+Z44),Z95)</f>
        <v>43717.7694759603</v>
      </c>
      <c r="AA96" s="65" t="n">
        <f aca="false">IF(ISNUMBER(AA95),AA95*AA44/(AA43+AA44),AA95)</f>
        <v>126427.926858123</v>
      </c>
      <c r="AB96" s="65" t="n">
        <f aca="false">IF(ISNUMBER(AB95),AB95*AB44/(AB43+AB44),AB95)</f>
        <v>46852.41616259</v>
      </c>
      <c r="AC96" s="65" t="n">
        <f aca="false">IF(ISNUMBER(AC95),AC95*AC44/(AC43+AC44),AC95)</f>
        <v>44491.6958878465</v>
      </c>
      <c r="AD96" s="65" t="n">
        <f aca="false">IF(ISNUMBER(AD95),AD95*AD44/(AD43+AD44),AD95)</f>
        <v>12623.408747665</v>
      </c>
      <c r="AE96" s="65" t="n">
        <f aca="false">IF(ISNUMBER(AE95),AE95*AE44/(AE43+AE44),AE95)</f>
        <v>44491.6958878465</v>
      </c>
      <c r="AF96" s="65" t="n">
        <f aca="false">IF(ISNUMBER(AF95),AF95*AF44/(AF43+AF44),AF95)</f>
        <v>12623.408747665</v>
      </c>
      <c r="AG96" s="65" t="n">
        <f aca="false">IF(ISNUMBER(AG95),AG95*AG44/(AG43+AG44),AG95)</f>
        <v>44491.6958878465</v>
      </c>
      <c r="AH96" s="65" t="n">
        <f aca="false">IF(ISNUMBER(AH95),AH95*AH44/(AH43+AH44),AH95)</f>
        <v>12623.408747665</v>
      </c>
    </row>
    <row r="97" customFormat="false" ht="15" hidden="false" customHeight="false" outlineLevel="0" collapsed="false">
      <c r="A97" s="58" t="s">
        <v>785</v>
      </c>
      <c r="B97" s="59" t="s">
        <v>359</v>
      </c>
      <c r="C97" s="65" t="n">
        <f aca="false">IF(ISNUMBER(C95),C95-C96,C95)</f>
        <v>1650615.80600364</v>
      </c>
      <c r="D97" s="65" t="n">
        <f aca="false">IF(ISNUMBER(D95),D95-D96,D95)</f>
        <v>631710.873581863</v>
      </c>
      <c r="E97" s="65" t="n">
        <f aca="false">IF(ISNUMBER(E95),E95-E96,E95)</f>
        <v>965233.822271785</v>
      </c>
      <c r="F97" s="65" t="n">
        <f aca="false">IF(ISNUMBER(F95),F95-F96,F95)</f>
        <v>631710.873581863</v>
      </c>
      <c r="G97" s="65" t="n">
        <f aca="false">IF(ISNUMBER(G95),G95-G96,G95)</f>
        <v>2162443.32422274</v>
      </c>
      <c r="H97" s="65" t="n">
        <f aca="false">IF(ISNUMBER(H95),H95-H96,H95)</f>
        <v>631710.873581863</v>
      </c>
      <c r="I97" s="65" t="n">
        <f aca="false">IF(ISNUMBER(I95),I95-I96,I95)</f>
        <v>1783156.81487566</v>
      </c>
      <c r="J97" s="65" t="n">
        <f aca="false">IF(ISNUMBER(J95),J95-J96,J95)</f>
        <v>631710.873581863</v>
      </c>
      <c r="K97" s="65" t="n">
        <f aca="false">IF(ISNUMBER(K95),K95-K96,K95)</f>
        <v>1408549.91337911</v>
      </c>
      <c r="L97" s="65" t="n">
        <f aca="false">IF(ISNUMBER(L95),L95-L96,L95)</f>
        <v>631710.873581863</v>
      </c>
      <c r="M97" s="65" t="n">
        <f aca="false">IF(ISNUMBER(M95),M95-M96,M95)</f>
        <v>2358022.58000521</v>
      </c>
      <c r="N97" s="65" t="n">
        <f aca="false">IF(ISNUMBER(N95),N95-N96,N95)</f>
        <v>631710.873581863</v>
      </c>
      <c r="O97" s="65" t="n">
        <f aca="false">IF(ISNUMBER(O95),O95-O96,O95)</f>
        <v>1852844.35404513</v>
      </c>
      <c r="P97" s="65" t="n">
        <f aca="false">IF(ISNUMBER(P95),P95-P96,P95)</f>
        <v>752787.445992789</v>
      </c>
      <c r="Q97" s="65" t="n">
        <f aca="false">IF(ISNUMBER(Q95),Q95-Q96,Q95)</f>
        <v>1328866.14307097</v>
      </c>
      <c r="R97" s="65" t="n">
        <f aca="false">IF(ISNUMBER(R95),R95-R96,R95)</f>
        <v>429747.435291208</v>
      </c>
      <c r="S97" s="65" t="n">
        <f aca="false">IF(ISNUMBER(S95),S95-S96,S95)</f>
        <v>1391852.8438634</v>
      </c>
      <c r="T97" s="65" t="n">
        <f aca="false">IF(ISNUMBER(T95),T95-T96,T95)</f>
        <v>510571.292708462</v>
      </c>
      <c r="U97" s="65" t="n">
        <f aca="false">IF(ISNUMBER(U95),U95-U96,U95)</f>
        <v>1917222.87567954</v>
      </c>
      <c r="V97" s="65" t="n">
        <f aca="false">IF(ISNUMBER(V95),V95-V96,V95)</f>
        <v>755815.989852513</v>
      </c>
      <c r="W97" s="65" t="n">
        <f aca="false">IF(ISNUMBER(W95),W95-W96,W95)</f>
        <v>536721.258384073</v>
      </c>
      <c r="X97" s="65" t="n">
        <f aca="false">IF(ISNUMBER(X95),X95-X96,X95)</f>
        <v>199164.400811595</v>
      </c>
      <c r="Y97" s="65" t="n">
        <f aca="false">IF(ISNUMBER(Y95),Y95-Y96,Y95)</f>
        <v>3474938.5292561</v>
      </c>
      <c r="Z97" s="65" t="n">
        <f aca="false">IF(ISNUMBER(Z95),Z95-Z96,Z95)</f>
        <v>1398968.62323073</v>
      </c>
      <c r="AA97" s="65" t="n">
        <f aca="false">IF(ISNUMBER(AA95),AA95-AA96,AA95)</f>
        <v>1011423.41486499</v>
      </c>
      <c r="AB97" s="65" t="n">
        <f aca="false">IF(ISNUMBER(AB95),AB95-AB96,AB95)</f>
        <v>374819.32930072</v>
      </c>
      <c r="AC97" s="65" t="n">
        <f aca="false">IF(ISNUMBER(AC95),AC95-AC96,AC95)</f>
        <v>355933.567102772</v>
      </c>
      <c r="AD97" s="65" t="n">
        <f aca="false">IF(ISNUMBER(AD95),AD95-AD96,AD95)</f>
        <v>100987.26998132</v>
      </c>
      <c r="AE97" s="65" t="n">
        <f aca="false">IF(ISNUMBER(AE95),AE95-AE96,AE95)</f>
        <v>355933.567102772</v>
      </c>
      <c r="AF97" s="65" t="n">
        <f aca="false">IF(ISNUMBER(AF95),AF95-AF96,AF95)</f>
        <v>100987.26998132</v>
      </c>
      <c r="AG97" s="65" t="n">
        <f aca="false">IF(ISNUMBER(AG95),AG95-AG96,AG95)</f>
        <v>355933.567102772</v>
      </c>
      <c r="AH97" s="65" t="n">
        <f aca="false">IF(ISNUMBER(AH95),AH95-AH96,AH95)</f>
        <v>100987.26998132</v>
      </c>
    </row>
    <row r="98" customFormat="false" ht="15" hidden="false" customHeight="false" outlineLevel="0" collapsed="false">
      <c r="A98" s="58" t="s">
        <v>786</v>
      </c>
      <c r="B98" s="59" t="s">
        <v>787</v>
      </c>
      <c r="C98" s="68" t="n">
        <f aca="false">IF(ISNUMBER(C95),C95*C25*8760*3600/1000000,C95)</f>
        <v>237287338734.99</v>
      </c>
      <c r="D98" s="68" t="n">
        <f aca="false">IF(ISNUMBER(D95),D95*D25*8760*3600/1000000,D95)</f>
        <v>151593674754.548</v>
      </c>
      <c r="E98" s="68" t="n">
        <f aca="false">IF(ISNUMBER(E95),E95*E25*8760*3600/1000000,E95)</f>
        <v>138758979594.655</v>
      </c>
      <c r="F98" s="68" t="n">
        <f aca="false">IF(ISNUMBER(F95),F95*F25*8760*3600/1000000,F95)</f>
        <v>151593674754.548</v>
      </c>
      <c r="G98" s="68" t="n">
        <f aca="false">IF(ISNUMBER(G95),G95*G25*8760*3600/1000000,G95)</f>
        <v>310866053568.45</v>
      </c>
      <c r="H98" s="68" t="n">
        <f aca="false">IF(ISNUMBER(H95),H95*H25*8760*3600/1000000,H95)</f>
        <v>151593674754.548</v>
      </c>
      <c r="I98" s="68" t="n">
        <f aca="false">IF(ISNUMBER(I95),I95*I25*8760*3600/1000000,I95)</f>
        <v>256341017461.5</v>
      </c>
      <c r="J98" s="68" t="n">
        <f aca="false">IF(ISNUMBER(J95),J95*J25*8760*3600/1000000,J95)</f>
        <v>151593674754.548</v>
      </c>
      <c r="K98" s="68" t="n">
        <f aca="false">IF(ISNUMBER(K95),K95*K25*8760*3600/1000000,K95)</f>
        <v>202488707066.453</v>
      </c>
      <c r="L98" s="68" t="n">
        <f aca="false">IF(ISNUMBER(L95),L95*L25*8760*3600/1000000,L95)</f>
        <v>151593674754.548</v>
      </c>
      <c r="M98" s="68" t="n">
        <f aca="false">IF(ISNUMBER(M95),M95*M25*8760*3600/1000000,M95)</f>
        <v>338981912478.557</v>
      </c>
      <c r="N98" s="68" t="n">
        <f aca="false">IF(ISNUMBER(N95),N95*N25*8760*3600/1000000,N95)</f>
        <v>151593674754.548</v>
      </c>
      <c r="O98" s="68" t="n">
        <f aca="false">IF(ISNUMBER(O95),O95*O25*8760*3600/1000000,O95)</f>
        <v>266359078994.878</v>
      </c>
      <c r="P98" s="68" t="n">
        <f aca="false">IF(ISNUMBER(P95),P95*P25*8760*3600/1000000,P95)</f>
        <v>180648806312.417</v>
      </c>
      <c r="Q98" s="68" t="n">
        <f aca="false">IF(ISNUMBER(Q95),Q95*Q25*8760*3600/1000000,Q95)</f>
        <v>191033618772.729</v>
      </c>
      <c r="R98" s="68" t="n">
        <f aca="false">IF(ISNUMBER(R95),R95*R25*8760*3600/1000000,R95)</f>
        <v>103127863800.645</v>
      </c>
      <c r="S98" s="68" t="n">
        <f aca="false">IF(ISNUMBER(S95),S95*S25*8760*3600/1000000,S95)</f>
        <v>200088388848.462</v>
      </c>
      <c r="T98" s="68" t="n">
        <f aca="false">IF(ISNUMBER(T95),T95*T25*8760*3600/1000000,T95)</f>
        <v>122523422854.816</v>
      </c>
      <c r="U98" s="68" t="n">
        <f aca="false">IF(ISNUMBER(U95),U95*U25*8760*3600/1000000,U95)</f>
        <v>275613932858.969</v>
      </c>
      <c r="V98" s="68" t="n">
        <f aca="false">IF(ISNUMBER(V95),V95*V25*8760*3600/1000000,V95)</f>
        <v>181375575649.547</v>
      </c>
      <c r="W98" s="68" t="n">
        <f aca="false">IF(ISNUMBER(W95),W95*W25*8760*3600/1000000,W95)</f>
        <v>102876480871.544</v>
      </c>
      <c r="X98" s="68" t="n">
        <f aca="false">IF(ISNUMBER(X95),X95*X25*8760*3600/1000000,X95)</f>
        <v>63725489327.3678</v>
      </c>
      <c r="Y98" s="68" t="n">
        <f aca="false">IF(ISNUMBER(Y95),Y95*Y25*8760*3600/1000000,Y95)</f>
        <v>457917384612.528</v>
      </c>
      <c r="Z98" s="68" t="n">
        <f aca="false">IF(ISNUMBER(Z95),Z95*Z25*8760*3600/1000000,Z95)</f>
        <v>307738718855.813</v>
      </c>
      <c r="AA98" s="68" t="n">
        <f aca="false">IF(ISNUMBER(AA95),AA95*AA25*8760*3600/1000000,AA95)</f>
        <v>145399050205.774</v>
      </c>
      <c r="AB98" s="68" t="n">
        <f aca="false">IF(ISNUMBER(AB95),AB95*AB25*8760*3600/1000000,AB95)</f>
        <v>89946590875.593</v>
      </c>
      <c r="AC98" s="68" t="n">
        <f aca="false">IF(ISNUMBER(AC95),AC95*AC25*8760*3600/1000000,AC95)</f>
        <v>51167890551.5595</v>
      </c>
      <c r="AD98" s="68" t="n">
        <f aca="false">IF(ISNUMBER(AD95),AD95*AD25*8760*3600/1000000,AD95)</f>
        <v>24234237528.7831</v>
      </c>
      <c r="AE98" s="68" t="n">
        <f aca="false">IF(ISNUMBER(AE95),AE95*AE25*8760*3600/1000000,AE95)</f>
        <v>51167890551.5595</v>
      </c>
      <c r="AF98" s="68" t="n">
        <f aca="false">IF(ISNUMBER(AF95),AF95*AF25*8760*3600/1000000,AF95)</f>
        <v>24234237528.7831</v>
      </c>
      <c r="AG98" s="68" t="n">
        <f aca="false">IF(ISNUMBER(AG95),AG95*AG25*8760*3600/1000000,AG95)</f>
        <v>51167890551.5595</v>
      </c>
      <c r="AH98" s="68" t="n">
        <f aca="false">IF(ISNUMBER(AH95),AH95*AH25*8760*3600/1000000,AH95)</f>
        <v>24234237528.7831</v>
      </c>
    </row>
    <row r="99" customFormat="false" ht="15" hidden="false" customHeight="false" outlineLevel="0" collapsed="false">
      <c r="A99" s="58" t="s">
        <v>788</v>
      </c>
      <c r="B99" s="59" t="s">
        <v>787</v>
      </c>
      <c r="C99" s="65" t="n">
        <f aca="false">IF(ISNUMBER(C96),C96*C25*8760*3600/1000000,C96)</f>
        <v>26365259859.4433</v>
      </c>
      <c r="D99" s="65" t="n">
        <f aca="false">IF(ISNUMBER(D96),D96*D25*8760*3600/1000000,D96)</f>
        <v>16843741639.3942</v>
      </c>
      <c r="E99" s="65" t="n">
        <f aca="false">IF(ISNUMBER(E96),E96*E25*8760*3600/1000000,E96)</f>
        <v>15417664399.4061</v>
      </c>
      <c r="F99" s="65" t="n">
        <f aca="false">IF(ISNUMBER(F96),F96*F25*8760*3600/1000000,F96)</f>
        <v>16843741639.3942</v>
      </c>
      <c r="G99" s="65" t="n">
        <f aca="false">IF(ISNUMBER(G96),G96*G25*8760*3600/1000000,G96)</f>
        <v>34540672618.7166</v>
      </c>
      <c r="H99" s="65" t="n">
        <f aca="false">IF(ISNUMBER(H96),H96*H25*8760*3600/1000000,H96)</f>
        <v>16843741639.3942</v>
      </c>
      <c r="I99" s="65" t="n">
        <f aca="false">IF(ISNUMBER(I96),I96*I25*8760*3600/1000000,I96)</f>
        <v>28482335273.5</v>
      </c>
      <c r="J99" s="65" t="n">
        <f aca="false">IF(ISNUMBER(J96),J96*J25*8760*3600/1000000,J96)</f>
        <v>16843741639.3942</v>
      </c>
      <c r="K99" s="65" t="n">
        <f aca="false">IF(ISNUMBER(K96),K96*K25*8760*3600/1000000,K96)</f>
        <v>22498745229.6059</v>
      </c>
      <c r="L99" s="65" t="n">
        <f aca="false">IF(ISNUMBER(L96),L96*L25*8760*3600/1000000,L96)</f>
        <v>16843741639.3942</v>
      </c>
      <c r="M99" s="65" t="n">
        <f aca="false">IF(ISNUMBER(M96),M96*M25*8760*3600/1000000,M96)</f>
        <v>37664656942.0619</v>
      </c>
      <c r="N99" s="65" t="n">
        <f aca="false">IF(ISNUMBER(N96),N96*N25*8760*3600/1000000,N96)</f>
        <v>16843741639.3942</v>
      </c>
      <c r="O99" s="65" t="n">
        <f aca="false">IF(ISNUMBER(O96),O96*O25*8760*3600/1000000,O96)</f>
        <v>29595453221.6532</v>
      </c>
      <c r="P99" s="65" t="n">
        <f aca="false">IF(ISNUMBER(P96),P96*P25*8760*3600/1000000,P96)</f>
        <v>20072089590.2686</v>
      </c>
      <c r="Q99" s="65" t="n">
        <f aca="false">IF(ISNUMBER(Q96),Q96*Q25*8760*3600/1000000,Q96)</f>
        <v>21225957641.4144</v>
      </c>
      <c r="R99" s="65" t="n">
        <f aca="false">IF(ISNUMBER(R96),R96*R25*8760*3600/1000000,R96)</f>
        <v>11458651533.405</v>
      </c>
      <c r="S99" s="65" t="n">
        <f aca="false">IF(ISNUMBER(S96),S96*S25*8760*3600/1000000,S96)</f>
        <v>22232043205.3846</v>
      </c>
      <c r="T99" s="65" t="n">
        <f aca="false">IF(ISNUMBER(T96),T96*T25*8760*3600/1000000,T96)</f>
        <v>13613713650.5351</v>
      </c>
      <c r="U99" s="65" t="n">
        <f aca="false">IF(ISNUMBER(U96),U96*U25*8760*3600/1000000,U96)</f>
        <v>30623770317.6632</v>
      </c>
      <c r="V99" s="65" t="n">
        <f aca="false">IF(ISNUMBER(V96),V96*V25*8760*3600/1000000,V96)</f>
        <v>20152841738.8386</v>
      </c>
      <c r="W99" s="65" t="n">
        <f aca="false">IF(ISNUMBER(W96),W96*W25*8760*3600/1000000,W96)</f>
        <v>34292160290.5146</v>
      </c>
      <c r="X99" s="65" t="n">
        <f aca="false">IF(ISNUMBER(X96),X96*X25*8760*3600/1000000,X96)</f>
        <v>21241829775.7893</v>
      </c>
      <c r="Y99" s="65" t="n">
        <f aca="false">IF(ISNUMBER(Y96),Y96*Y25*8760*3600/1000000,Y96)</f>
        <v>13876284382.1978</v>
      </c>
      <c r="Z99" s="65" t="n">
        <f aca="false">IF(ISNUMBER(Z96),Z96*Z25*8760*3600/1000000,Z96)</f>
        <v>9325415722.90342</v>
      </c>
      <c r="AA99" s="65" t="n">
        <f aca="false">IF(ISNUMBER(AA96),AA96*AA25*8760*3600/1000000,AA96)</f>
        <v>16155450022.8638</v>
      </c>
      <c r="AB99" s="65" t="n">
        <f aca="false">IF(ISNUMBER(AB96),AB96*AB25*8760*3600/1000000,AB96)</f>
        <v>9994065652.84367</v>
      </c>
      <c r="AC99" s="65" t="n">
        <f aca="false">IF(ISNUMBER(AC96),AC96*AC25*8760*3600/1000000,AC96)</f>
        <v>5685321172.3955</v>
      </c>
      <c r="AD99" s="65" t="n">
        <f aca="false">IF(ISNUMBER(AD96),AD96*AD25*8760*3600/1000000,AD96)</f>
        <v>2692693058.75367</v>
      </c>
      <c r="AE99" s="65" t="n">
        <f aca="false">IF(ISNUMBER(AE96),AE96*AE25*8760*3600/1000000,AE96)</f>
        <v>5685321172.3955</v>
      </c>
      <c r="AF99" s="65" t="n">
        <f aca="false">IF(ISNUMBER(AF96),AF96*AF25*8760*3600/1000000,AF96)</f>
        <v>2692693058.75367</v>
      </c>
      <c r="AG99" s="65" t="n">
        <f aca="false">IF(ISNUMBER(AG96),AG96*AG25*8760*3600/1000000,AG96)</f>
        <v>5685321172.3955</v>
      </c>
      <c r="AH99" s="65" t="n">
        <f aca="false">IF(ISNUMBER(AH96),AH96*AH25*8760*3600/1000000,AH96)</f>
        <v>2692693058.75367</v>
      </c>
    </row>
    <row r="100" customFormat="false" ht="15" hidden="false" customHeight="false" outlineLevel="0" collapsed="false">
      <c r="A100" s="73" t="s">
        <v>789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8" t="s">
        <v>790</v>
      </c>
      <c r="B101" s="59" t="s">
        <v>791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8" t="s">
        <v>792</v>
      </c>
      <c r="B102" s="59" t="s">
        <v>791</v>
      </c>
      <c r="C102" s="113" t="n">
        <f aca="false">1000000*C34/(C62*1000000000000)</f>
        <v>0.03965</v>
      </c>
      <c r="D102" s="113" t="n">
        <f aca="false">1000000*D34/(D62*1000000000000)</f>
        <v>0.03965</v>
      </c>
      <c r="E102" s="113" t="n">
        <f aca="false">1000000*E34/(E62*1000000000000)</f>
        <v>0.03965</v>
      </c>
      <c r="F102" s="113" t="n">
        <f aca="false">1000000*F34/(F62*1000000000000)</f>
        <v>0.03965</v>
      </c>
      <c r="G102" s="113" t="n">
        <f aca="false">1000000*G34/(G62*1000000000000)</f>
        <v>0.03965</v>
      </c>
      <c r="H102" s="113" t="n">
        <f aca="false">1000000*H34/(H62*1000000000000)</f>
        <v>0.03965</v>
      </c>
      <c r="I102" s="113" t="n">
        <f aca="false">1000000*I34/(I62*1000000000000)</f>
        <v>0.03965</v>
      </c>
      <c r="J102" s="113" t="n">
        <f aca="false">1000000*J34/(J62*1000000000000)</f>
        <v>0.03965</v>
      </c>
      <c r="K102" s="113" t="n">
        <f aca="false">1000000*K34/(K62*1000000000000)</f>
        <v>0.03965</v>
      </c>
      <c r="L102" s="113" t="n">
        <f aca="false">1000000*L34/(L62*1000000000000)</f>
        <v>0.03965</v>
      </c>
      <c r="M102" s="113" t="n">
        <f aca="false">1000000*M34/(M62*1000000000000)</f>
        <v>0.03965</v>
      </c>
      <c r="N102" s="113" t="n">
        <f aca="false">1000000*N34/(N62*1000000000000)</f>
        <v>0.03965</v>
      </c>
      <c r="O102" s="113" t="n">
        <f aca="false">1000000*O34/(O62*1000000000000)</f>
        <v>0.03965</v>
      </c>
      <c r="P102" s="113" t="n">
        <f aca="false">1000000*P34/(P62*1000000000000)</f>
        <v>0.03965</v>
      </c>
      <c r="Q102" s="113" t="n">
        <f aca="false">1000000*Q34/(Q62*1000000000000)</f>
        <v>0.03965</v>
      </c>
      <c r="R102" s="113" t="n">
        <f aca="false">1000000*R34/(R62*1000000000000)</f>
        <v>0.03965</v>
      </c>
      <c r="S102" s="113" t="n">
        <f aca="false">1000000*S34/(S62*1000000000000)</f>
        <v>0.03965</v>
      </c>
      <c r="T102" s="113" t="n">
        <f aca="false">1000000*T34/(T62*1000000000000)</f>
        <v>0.03965</v>
      </c>
      <c r="U102" s="113" t="n">
        <f aca="false">1000000*U34/(U62*1000000000000)</f>
        <v>0.03965</v>
      </c>
      <c r="V102" s="113" t="n">
        <f aca="false">1000000*V34/(V62*1000000000000)</f>
        <v>0.03965</v>
      </c>
      <c r="W102" s="113" t="n">
        <f aca="false">1000000*W34/(W62*1000000000000)</f>
        <v>0.03965</v>
      </c>
      <c r="X102" s="113" t="n">
        <f aca="false">1000000*X34/(X62*1000000000000)</f>
        <v>0.03965</v>
      </c>
      <c r="Y102" s="113" t="n">
        <f aca="false">1000000*Y34/(Y62*1000000000000)</f>
        <v>0.03965</v>
      </c>
      <c r="Z102" s="113" t="n">
        <f aca="false">1000000*Z34/(Z62*1000000000000)</f>
        <v>0.03965</v>
      </c>
      <c r="AA102" s="113" t="n">
        <f aca="false">1000000*AA34/(AA62*1000000000000)</f>
        <v>0.03965</v>
      </c>
      <c r="AB102" s="113" t="n">
        <f aca="false">1000000*AB34/(AB62*1000000000000)</f>
        <v>0.03965</v>
      </c>
      <c r="AC102" s="113" t="n">
        <f aca="false">1000000*AC34/(AC62*1000000000000)</f>
        <v>0.14976</v>
      </c>
      <c r="AD102" s="113" t="n">
        <f aca="false">1000000*AD34/(AD62*1000000000000)</f>
        <v>0.14976</v>
      </c>
      <c r="AE102" s="113" t="n">
        <f aca="false">1000000*AE34/(AE62*1000000000000)</f>
        <v>0.576</v>
      </c>
      <c r="AF102" s="113" t="n">
        <f aca="false">1000000*AF34/(AF62*1000000000000)</f>
        <v>0.576</v>
      </c>
      <c r="AG102" s="113" t="n">
        <f aca="false">1000000*AG34/(AG62*1000000000000)</f>
        <v>2.048</v>
      </c>
      <c r="AH102" s="113" t="n">
        <f aca="false">1000000*AH34/(AH62*1000000000000)</f>
        <v>2.048</v>
      </c>
    </row>
    <row r="103" customFormat="false" ht="15" hidden="false" customHeight="false" outlineLevel="0" collapsed="false">
      <c r="A103" s="59" t="s">
        <v>793</v>
      </c>
      <c r="B103" s="59" t="s">
        <v>791</v>
      </c>
      <c r="C103" s="72" t="n">
        <f aca="false">IF(C88&gt;0,1000000/C88,"SLO 不可達")</f>
        <v>247.785926826261</v>
      </c>
      <c r="D103" s="72" t="n">
        <f aca="false">IF(D88&gt;0,1000000/D88,"SLO 不可達")</f>
        <v>675.735134166168</v>
      </c>
      <c r="E103" s="72" t="n">
        <f aca="false">IF(E88&gt;0,1000000/E88,"SLO 不可達")</f>
        <v>495.571853652522</v>
      </c>
      <c r="F103" s="72" t="n">
        <f aca="false">IF(F88&gt;0,1000000/F88,"SLO 不可達")</f>
        <v>675.735134166168</v>
      </c>
      <c r="G103" s="72" t="n">
        <f aca="false">IF(G88&gt;0,1000000/G88,"SLO 不可達")</f>
        <v>165.190617884174</v>
      </c>
      <c r="H103" s="72" t="n">
        <f aca="false">IF(H88&gt;0,1000000/H88,"SLO 不可達")</f>
        <v>675.735134166168</v>
      </c>
      <c r="I103" s="72" t="n">
        <f aca="false">IF(I88&gt;0,1000000/I88,"SLO 不可達")</f>
        <v>221.847883089847</v>
      </c>
      <c r="J103" s="72" t="n">
        <f aca="false">IF(J88&gt;0,1000000/J88,"SLO 不可達")</f>
        <v>675.735134166168</v>
      </c>
      <c r="K103" s="72" t="n">
        <f aca="false">IF(K88&gt;0,1000000/K88,"SLO 不可達")</f>
        <v>307.756450857815</v>
      </c>
      <c r="L103" s="72" t="n">
        <f aca="false">IF(L88&gt;0,1000000/L88,"SLO 不可達")</f>
        <v>675.735134166168</v>
      </c>
      <c r="M103" s="72" t="n">
        <f aca="false">IF(M88&gt;0,1000000/M88,"SLO 不可達")</f>
        <v>173.450148778383</v>
      </c>
      <c r="N103" s="72" t="n">
        <f aca="false">IF(N88&gt;0,1000000/N88,"SLO 不可達")</f>
        <v>675.735134166168</v>
      </c>
      <c r="O103" s="72" t="n">
        <f aca="false">IF(O88&gt;0,1000000/O88,"SLO 不可達")</f>
        <v>209.698642397516</v>
      </c>
      <c r="P103" s="72" t="n">
        <f aca="false">IF(P88&gt;0,1000000/P88,"SLO 不可達")</f>
        <v>529.081820298486</v>
      </c>
      <c r="Q103" s="72" t="n">
        <f aca="false">IF(Q88&gt;0,1000000/Q88,"SLO 不可達")</f>
        <v>332.277490560712</v>
      </c>
      <c r="R103" s="72" t="n">
        <f aca="false">IF(R88&gt;0,1000000/R88,"SLO 不可達")</f>
        <v>1104.24773088001</v>
      </c>
      <c r="S103" s="72" t="n">
        <f aca="false">IF(S88&gt;0,1000000/S88,"SLO 不可達")</f>
        <v>312.662107823287</v>
      </c>
      <c r="T103" s="72" t="n">
        <f aca="false">IF(T88&gt;0,1000000/T88,"SLO 不可達")</f>
        <v>892.073629665918</v>
      </c>
      <c r="U103" s="72" t="n">
        <f aca="false">IF(U88&gt;0,1000000/U88,"SLO 不可達")</f>
        <v>199.259809580009</v>
      </c>
      <c r="V103" s="72" t="n">
        <f aca="false">IF(V88&gt;0,1000000/V88,"SLO 不可達")</f>
        <v>526.015850252281</v>
      </c>
      <c r="W103" s="72" t="n">
        <f aca="false">IF(W88&gt;0,1000000/W88,"SLO 不可達")</f>
        <v>246.337150738546</v>
      </c>
      <c r="X103" s="72" t="n">
        <f aca="false">IF(X88&gt;0,1000000/X88,"SLO 不可達")</f>
        <v>671.784187812805</v>
      </c>
      <c r="Y103" s="72" t="n">
        <f aca="false">IF(Y88&gt;0,1000000/Y88,"SLO 不可達")</f>
        <v>253.581031177122</v>
      </c>
      <c r="Z103" s="72" t="n">
        <f aca="false">IF(Z88&gt;0,1000000/Z88,"SLO 不可達")</f>
        <v>691.538919579623</v>
      </c>
      <c r="AA103" s="72" t="n">
        <f aca="false">IF(AA88&gt;0,1000000/AA88,"SLO 不可達")</f>
        <v>424.959079386354</v>
      </c>
      <c r="AB103" s="72" t="n">
        <f aca="false">IF(AB88&gt;0,1000000/AB88,"SLO 不可達")</f>
        <v>1199.49123508435</v>
      </c>
      <c r="AC103" s="72" t="n">
        <f aca="false">IF(AC88&gt;0,1000000/AC88,"SLO 不可達")</f>
        <v>1282.63712409266</v>
      </c>
      <c r="AD103" s="72" t="n">
        <f aca="false">IF(AD88&gt;0,1000000/AD88,"SLO 不可達")</f>
        <v>4920.52361227776</v>
      </c>
      <c r="AE103" s="72" t="n">
        <f aca="false">IF(AE88&gt;0,1000000/AE88,"SLO 不可達")</f>
        <v>1282.63712409266</v>
      </c>
      <c r="AF103" s="72" t="n">
        <f aca="false">IF(AF88&gt;0,1000000/AF88,"SLO 不可達")</f>
        <v>4920.52361227776</v>
      </c>
      <c r="AG103" s="72" t="n">
        <f aca="false">IF(AG88&gt;0,1000000/AG88,"SLO 不可達")</f>
        <v>1282.63712409266</v>
      </c>
      <c r="AH103" s="72" t="n">
        <f aca="false">IF(AH88&gt;0,1000000/AH88,"SLO 不可達")</f>
        <v>4920.52361227776</v>
      </c>
    </row>
    <row r="104" customFormat="false" ht="15" hidden="false" customHeight="false" outlineLevel="0" collapsed="false">
      <c r="A104" s="58" t="s">
        <v>794</v>
      </c>
      <c r="B104" s="59" t="s">
        <v>795</v>
      </c>
      <c r="C104" s="114" t="n">
        <f aca="false">INDEX(DC_Cost!$C$58:$Q$58,3*(C$6-1)+2)/3600*C101</f>
        <v>0.0168050260436256</v>
      </c>
      <c r="D104" s="114" t="n">
        <f aca="false">INDEX(DC_Cost!$C$58:$Q$58,3*(D$6-1)+2)/3600*D101</f>
        <v>0.0209170743182869</v>
      </c>
      <c r="E104" s="114" t="n">
        <f aca="false">INDEX(DC_Cost!$C$58:$Q$58,3*(E$6-1)+2)/3600*E101</f>
        <v>0.0168050260436256</v>
      </c>
      <c r="F104" s="114" t="n">
        <f aca="false">INDEX(DC_Cost!$C$58:$Q$58,3*(F$6-1)+2)/3600*F101</f>
        <v>0.0209170743182869</v>
      </c>
      <c r="G104" s="114" t="n">
        <f aca="false">INDEX(DC_Cost!$C$58:$Q$58,3*(G$6-1)+2)/3600*G101</f>
        <v>0.0168050260436256</v>
      </c>
      <c r="H104" s="114" t="n">
        <f aca="false">INDEX(DC_Cost!$C$58:$Q$58,3*(H$6-1)+2)/3600*H101</f>
        <v>0.0209170743182869</v>
      </c>
      <c r="I104" s="114" t="n">
        <f aca="false">INDEX(DC_Cost!$C$58:$Q$58,3*(I$6-1)+2)/3600*I101</f>
        <v>0.0168050260436256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0.0168050260436256</v>
      </c>
      <c r="L104" s="114" t="n">
        <f aca="false">INDEX(DC_Cost!$C$58:$Q$58,3*(L$6-1)+2)/3600*L101</f>
        <v>0.0209170743182869</v>
      </c>
      <c r="M104" s="114" t="n">
        <f aca="false">INDEX(DC_Cost!$C$58:$Q$58,3*(M$6-1)+2)/3600*M101</f>
        <v>0.0117635182305379</v>
      </c>
      <c r="N104" s="114" t="n">
        <f aca="false">INDEX(DC_Cost!$C$58:$Q$58,3*(N$6-1)+2)/3600*N101</f>
        <v>0.0209170743182869</v>
      </c>
      <c r="O104" s="114" t="n">
        <f aca="false">INDEX(DC_Cost!$C$58:$Q$58,3*(O$6-1)+2)/3600*O101</f>
        <v>0.0168050260436256</v>
      </c>
      <c r="P104" s="114" t="n">
        <f aca="false">INDEX(DC_Cost!$C$58:$Q$58,3*(P$6-1)+2)/3600*P101</f>
        <v>0.0209170743182869</v>
      </c>
      <c r="Q104" s="114" t="n">
        <f aca="false">INDEX(DC_Cost!$C$58:$Q$58,3*(Q$6-1)+2)/3600*Q101</f>
        <v>0.0168050260436256</v>
      </c>
      <c r="R104" s="114" t="n">
        <f aca="false">INDEX(DC_Cost!$C$58:$Q$58,3*(R$6-1)+2)/3600*R101</f>
        <v>0.0209170743182869</v>
      </c>
      <c r="S104" s="114" t="n">
        <f aca="false">INDEX(DC_Cost!$C$58:$Q$58,3*(S$6-1)+2)/3600*S101</f>
        <v>0.0168050260436256</v>
      </c>
      <c r="T104" s="114" t="n">
        <f aca="false">INDEX(DC_Cost!$C$58:$Q$58,3*(T$6-1)+2)/3600*T101</f>
        <v>0.0209170743182869</v>
      </c>
      <c r="U104" s="114" t="n">
        <f aca="false">INDEX(DC_Cost!$C$58:$Q$58,3*(U$6-1)+2)/3600*U101</f>
        <v>0.0168050260436256</v>
      </c>
      <c r="V104" s="114" t="n">
        <f aca="false">INDEX(DC_Cost!$C$58:$Q$58,3*(V$6-1)+2)/3600*V101</f>
        <v>0.0209170743182869</v>
      </c>
      <c r="W104" s="114" t="n">
        <f aca="false">INDEX(DC_Cost!$C$58:$Q$58,3*(W$6-1)+2)/3600*W101</f>
        <v>0.0145891670626528</v>
      </c>
      <c r="X104" s="114" t="n">
        <f aca="false">INDEX(DC_Cost!$C$58:$Q$58,3*(X$6-1)+2)/3600*X101</f>
        <v>0.0181590133153745</v>
      </c>
      <c r="Y104" s="114" t="n">
        <f aca="false">INDEX(DC_Cost!$C$58:$Q$58,3*(Y$6-1)+2)/3600*Y101</f>
        <v>0.0170024057319184</v>
      </c>
      <c r="Z104" s="114" t="n">
        <f aca="false">INDEX(DC_Cost!$C$58:$Q$58,3*(Z$6-1)+2)/3600*Z101</f>
        <v>0.0211627511531947</v>
      </c>
      <c r="AA104" s="114" t="n">
        <f aca="false">INDEX(DC_Cost!$C$58:$Q$58,3*(AA$6-1)+2)/3600*AA101</f>
        <v>0.0240071800623222</v>
      </c>
      <c r="AB104" s="114" t="n">
        <f aca="false">INDEX(DC_Cost!$C$58:$Q$58,3*(AB$6-1)+2)/3600*AB101</f>
        <v>0.0298815347404098</v>
      </c>
      <c r="AC104" s="114" t="n">
        <f aca="false">INDEX(DC_Cost!$C$58:$Q$58,3*(AC$6-1)+2)/3600*AC101</f>
        <v>0.0557498724040708</v>
      </c>
      <c r="AD104" s="114" t="n">
        <f aca="false">INDEX(DC_Cost!$C$58:$Q$58,3*(AD$6-1)+2)/3600*AD101</f>
        <v>0.0693913964360257</v>
      </c>
      <c r="AE104" s="114" t="n">
        <f aca="false">INDEX(DC_Cost!$C$58:$Q$58,3*(AE$6-1)+2)/3600*AE101</f>
        <v>0.0557498724040708</v>
      </c>
      <c r="AF104" s="114" t="n">
        <f aca="false">INDEX(DC_Cost!$C$58:$Q$58,3*(AF$6-1)+2)/3600*AF101</f>
        <v>0.0693913964360257</v>
      </c>
      <c r="AG104" s="114" t="n">
        <f aca="false">INDEX(DC_Cost!$C$58:$Q$58,3*(AG$6-1)+2)/3600*AG101</f>
        <v>0.0557498724040708</v>
      </c>
      <c r="AH104" s="11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796</v>
      </c>
      <c r="B105" s="59" t="s">
        <v>795</v>
      </c>
      <c r="C105" s="114" t="n">
        <f aca="false">IF(ISNUMBER(C103),INDEX(DC_Cost!$C$58:$Q$58,3*(C$6-1)+2)/3600*C103,C103)</f>
        <v>0.329255999075451</v>
      </c>
      <c r="D105" s="114" t="n">
        <f aca="false">IF(ISNUMBER(D103),INDEX(DC_Cost!$C$58:$Q$58,3*(D$6-1)+2)/3600*D103,D103)</f>
        <v>0.478981262565029</v>
      </c>
      <c r="E105" s="114" t="n">
        <f aca="false">IF(ISNUMBER(E103),INDEX(DC_Cost!$C$58:$Q$58,3*(E$6-1)+2)/3600*E103,E103)</f>
        <v>0.658511998150903</v>
      </c>
      <c r="F105" s="114" t="n">
        <f aca="false">IF(ISNUMBER(F103),INDEX(DC_Cost!$C$58:$Q$58,3*(F$6-1)+2)/3600*F103,F103)</f>
        <v>0.478981262565029</v>
      </c>
      <c r="G105" s="114" t="n">
        <f aca="false">IF(ISNUMBER(G103),INDEX(DC_Cost!$C$58:$Q$58,3*(G$6-1)+2)/3600*G103,G103)</f>
        <v>0.219503999383634</v>
      </c>
      <c r="H105" s="114" t="n">
        <f aca="false">IF(ISNUMBER(H103),INDEX(DC_Cost!$C$58:$Q$58,3*(H$6-1)+2)/3600*H103,H103)</f>
        <v>0.478981262565029</v>
      </c>
      <c r="I105" s="114" t="n">
        <f aca="false">IF(ISNUMBER(I103),INDEX(DC_Cost!$C$58:$Q$58,3*(I$6-1)+2)/3600*I103,I103)</f>
        <v>0.294789729687668</v>
      </c>
      <c r="J105" s="114" t="n">
        <f aca="false">IF(ISNUMBER(J103),INDEX(DC_Cost!$C$58:$Q$58,3*(J$6-1)+2)/3600*J103,J103)</f>
        <v>0.478981262565029</v>
      </c>
      <c r="K105" s="114" t="n">
        <f aca="false">IF(ISNUMBER(K103),INDEX(DC_Cost!$C$58:$Q$58,3*(K$6-1)+2)/3600*K103,K103)</f>
        <v>0.408944361760119</v>
      </c>
      <c r="L105" s="114" t="n">
        <f aca="false">IF(ISNUMBER(L103),INDEX(DC_Cost!$C$58:$Q$58,3*(L$6-1)+2)/3600*L103,L103)</f>
        <v>0.478981262565029</v>
      </c>
      <c r="M105" s="114" t="n">
        <f aca="false">IF(ISNUMBER(M103),INDEX(DC_Cost!$C$58:$Q$58,3*(M$6-1)+2)/3600*M103,M103)</f>
        <v>0.230479199352816</v>
      </c>
      <c r="N105" s="114" t="n">
        <f aca="false">IF(ISNUMBER(N103),INDEX(DC_Cost!$C$58:$Q$58,3*(N$6-1)+2)/3600*N103,N103)</f>
        <v>0.478981262565029</v>
      </c>
      <c r="O105" s="114" t="n">
        <f aca="false">IF(ISNUMBER(O103),INDEX(DC_Cost!$C$58:$Q$58,3*(O$6-1)+2)/3600*O103,O103)</f>
        <v>0.278645913800309</v>
      </c>
      <c r="P105" s="114" t="n">
        <f aca="false">IF(ISNUMBER(P103),INDEX(DC_Cost!$C$58:$Q$58,3*(P$6-1)+2)/3600*P103,P103)</f>
        <v>0.375029009849375</v>
      </c>
      <c r="Q105" s="114" t="n">
        <f aca="false">IF(ISNUMBER(Q103),INDEX(DC_Cost!$C$58:$Q$58,3*(Q$6-1)+2)/3600*Q103,Q103)</f>
        <v>0.441527727285181</v>
      </c>
      <c r="R105" s="114" t="n">
        <f aca="false">IF(ISNUMBER(R103),INDEX(DC_Cost!$C$58:$Q$58,3*(R$6-1)+2)/3600*R103,R103)</f>
        <v>0.782723800463826</v>
      </c>
      <c r="S105" s="114" t="n">
        <f aca="false">IF(ISNUMBER(S103),INDEX(DC_Cost!$C$58:$Q$58,3*(S$6-1)+2)/3600*S103,S103)</f>
        <v>0.415462960318061</v>
      </c>
      <c r="T105" s="114" t="n">
        <f aca="false">IF(ISNUMBER(T103),INDEX(DC_Cost!$C$58:$Q$58,3*(T$6-1)+2)/3600*T103,T103)</f>
        <v>0.632328455091513</v>
      </c>
      <c r="U105" s="114" t="n">
        <f aca="false">IF(ISNUMBER(U103),INDEX(DC_Cost!$C$58:$Q$58,3*(U$6-1)+2)/3600*U103,U103)</f>
        <v>0.264774874502263</v>
      </c>
      <c r="V105" s="114" t="n">
        <f aca="false">IF(ISNUMBER(V103),INDEX(DC_Cost!$C$58:$Q$58,3*(V$6-1)+2)/3600*V103,V103)</f>
        <v>0.372855758630863</v>
      </c>
      <c r="W105" s="114" t="n">
        <f aca="false">IF(ISNUMBER(W103),INDEX(DC_Cost!$C$58:$Q$58,3*(W$6-1)+2)/3600*W103,W103)</f>
        <v>0.327330876755927</v>
      </c>
      <c r="X105" s="114" t="n">
        <f aca="false">IF(ISNUMBER(X103),INDEX(DC_Cost!$C$58:$Q$58,3*(X$6-1)+2)/3600*X103,X103)</f>
        <v>0.476180713685776</v>
      </c>
      <c r="Y105" s="114" t="n">
        <f aca="false">IF(ISNUMBER(Y103),INDEX(DC_Cost!$C$58:$Q$58,3*(Y$6-1)+2)/3600*Y103,Y103)</f>
        <v>0.33695648835355</v>
      </c>
      <c r="Z105" s="114" t="n">
        <f aca="false">IF(ISNUMBER(Z103),INDEX(DC_Cost!$C$58:$Q$58,3*(Z$6-1)+2)/3600*Z103,Z103)</f>
        <v>0.49018345808204</v>
      </c>
      <c r="AA105" s="114" t="n">
        <f aca="false">IF(ISNUMBER(AA103),INDEX(DC_Cost!$C$58:$Q$58,3*(AA$6-1)+2)/3600*AA103,AA103)</f>
        <v>0.564682296697364</v>
      </c>
      <c r="AB105" s="114" t="n">
        <f aca="false">IF(ISNUMBER(AB103),INDEX(DC_Cost!$C$58:$Q$58,3*(AB$6-1)+2)/3600*AB103,AB103)</f>
        <v>0.850235243318138</v>
      </c>
      <c r="AC105" s="114" t="n">
        <f aca="false">IF(ISNUMBER(AC103),INDEX(DC_Cost!$C$58:$Q$58,3*(AC$6-1)+2)/3600*AC103,AC103)</f>
        <v>1.70435816575049</v>
      </c>
      <c r="AD105" s="114" t="n">
        <f aca="false">IF(ISNUMBER(AD103),INDEX(DC_Cost!$C$58:$Q$58,3*(AD$6-1)+2)/3600*AD103,AD103)</f>
        <v>3.48781422353906</v>
      </c>
      <c r="AE105" s="114" t="n">
        <f aca="false">IF(ISNUMBER(AE103),INDEX(DC_Cost!$C$58:$Q$58,3*(AE$6-1)+2)/3600*AE103,AE103)</f>
        <v>1.70435816575049</v>
      </c>
      <c r="AF105" s="114" t="n">
        <f aca="false">IF(ISNUMBER(AF103),INDEX(DC_Cost!$C$58:$Q$58,3*(AF$6-1)+2)/3600*AF103,AF103)</f>
        <v>3.48781422353906</v>
      </c>
      <c r="AG105" s="114" t="n">
        <f aca="false">IF(ISNUMBER(AG103),INDEX(DC_Cost!$C$58:$Q$58,3*(AG$6-1)+2)/3600*AG103,AG103)</f>
        <v>1.70435816575049</v>
      </c>
      <c r="AH105" s="114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3" t="s">
        <v>797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8" t="s">
        <v>798</v>
      </c>
      <c r="B107" s="59" t="s">
        <v>799</v>
      </c>
      <c r="C107" s="115" t="n">
        <f aca="false">C23*Energy!$C$5/(C14*1000000000000000)*1000000000000</f>
        <v>0.0308571428571429</v>
      </c>
      <c r="D107" s="115" t="n">
        <f aca="false">D23*Energy!$C$5/(D14*1000000000000000)*1000000000000</f>
        <v>0.056</v>
      </c>
      <c r="E107" s="115" t="n">
        <f aca="false">E23*Energy!$C$5/(E14*1000000000000000)*1000000000000</f>
        <v>0.0308571428571429</v>
      </c>
      <c r="F107" s="115" t="n">
        <f aca="false">F23*Energy!$C$5/(F14*1000000000000000)*1000000000000</f>
        <v>0.056</v>
      </c>
      <c r="G107" s="115" t="n">
        <f aca="false">G23*Energy!$C$5/(G14*1000000000000000)*1000000000000</f>
        <v>0.0308571428571429</v>
      </c>
      <c r="H107" s="115" t="n">
        <f aca="false">H23*Energy!$C$5/(H14*1000000000000000)*1000000000000</f>
        <v>0.056</v>
      </c>
      <c r="I107" s="115" t="n">
        <f aca="false">I23*Energy!$C$5/(I14*1000000000000000)*1000000000000</f>
        <v>0.0308571428571429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0.0308571428571429</v>
      </c>
      <c r="L107" s="115" t="n">
        <f aca="false">L23*Energy!$C$5/(L14*1000000000000000)*1000000000000</f>
        <v>0.056</v>
      </c>
      <c r="M107" s="115" t="n">
        <f aca="false">M23*Energy!$C$5/(M14*1000000000000000)*1000000000000</f>
        <v>0.0216</v>
      </c>
      <c r="N107" s="115" t="n">
        <f aca="false">N23*Energy!$C$5/(N14*1000000000000000)*1000000000000</f>
        <v>0.056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0.056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0.056</v>
      </c>
      <c r="S107" s="115" t="n">
        <f aca="false">S23*Energy!$C$5/(S14*1000000000000000)*1000000000000</f>
        <v>0.0308571428571429</v>
      </c>
      <c r="T107" s="115" t="n">
        <f aca="false">T23*Energy!$C$5/(T14*1000000000000000)*1000000000000</f>
        <v>0.056</v>
      </c>
      <c r="U107" s="115" t="n">
        <f aca="false">U23*Energy!$C$5/(U14*1000000000000000)*1000000000000</f>
        <v>0.0308571428571429</v>
      </c>
      <c r="V107" s="115" t="n">
        <f aca="false">V23*Energy!$C$5/(V14*1000000000000000)*1000000000000</f>
        <v>0.056</v>
      </c>
      <c r="W107" s="115" t="n">
        <f aca="false">W23*Energy!$C$5/(W14*1000000000000000)*1000000000000</f>
        <v>0.0308571428571429</v>
      </c>
      <c r="X107" s="115" t="n">
        <f aca="false">X23*Energy!$C$5/(X14*1000000000000000)*1000000000000</f>
        <v>0.056</v>
      </c>
      <c r="Y107" s="115" t="n">
        <f aca="false">Y23*Energy!$C$5/(Y14*1000000000000000)*1000000000000</f>
        <v>0.0308571428571429</v>
      </c>
      <c r="Z107" s="115" t="n">
        <f aca="false">Z23*Energy!$C$5/(Z14*1000000000000000)*1000000000000</f>
        <v>0.056</v>
      </c>
      <c r="AA107" s="115" t="n">
        <f aca="false">AA23*Energy!$C$5/(AA14*1000000000000000)*1000000000000</f>
        <v>0.0308571428571429</v>
      </c>
      <c r="AB107" s="115" t="n">
        <f aca="false">AB23*Energy!$C$5/(AB14*1000000000000000)*1000000000000</f>
        <v>0.056</v>
      </c>
      <c r="AC107" s="115" t="n">
        <f aca="false">AC23*Energy!$C$5/(AC14*1000000000000000)*1000000000000</f>
        <v>0.0308571428571429</v>
      </c>
      <c r="AD107" s="115" t="n">
        <f aca="false">AD23*Energy!$C$5/(AD14*1000000000000000)*1000000000000</f>
        <v>0.056</v>
      </c>
      <c r="AE107" s="115" t="n">
        <f aca="false">AE23*Energy!$C$5/(AE14*1000000000000000)*1000000000000</f>
        <v>0.0308571428571429</v>
      </c>
      <c r="AF107" s="115" t="n">
        <f aca="false">AF23*Energy!$C$5/(AF14*1000000000000000)*1000000000000</f>
        <v>0.056</v>
      </c>
      <c r="AG107" s="115" t="n">
        <f aca="false">AG23*Energy!$C$5/(AG14*1000000000000000)*1000000000000</f>
        <v>0.0308571428571429</v>
      </c>
      <c r="AH107" s="115" t="n">
        <f aca="false">AH23*Energy!$C$5/(AH14*1000000000000000)*1000000000000</f>
        <v>0.056</v>
      </c>
    </row>
    <row r="108" customFormat="false" ht="15" hidden="false" customHeight="false" outlineLevel="0" collapsed="false">
      <c r="A108" s="59" t="s">
        <v>800</v>
      </c>
      <c r="B108" s="59" t="s">
        <v>727</v>
      </c>
      <c r="C108" s="87" t="n">
        <f aca="false">IF(C$6=1,Energy!$C$7,Energy!$C$6)</f>
        <v>10</v>
      </c>
      <c r="D108" s="87" t="n">
        <f aca="false">IF(D$6=1,Energy!$C$7,Energy!$C$6)</f>
        <v>10</v>
      </c>
      <c r="E108" s="87" t="n">
        <f aca="false">IF(E$6=1,Energy!$C$7,Energy!$C$6)</f>
        <v>10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  <c r="T108" s="87" t="n">
        <f aca="false">IF(T$6=1,Energy!$C$7,Energy!$C$6)</f>
        <v>10</v>
      </c>
      <c r="U108" s="87" t="n">
        <f aca="false">IF(U$6=1,Energy!$C$7,Energy!$C$6)</f>
        <v>10</v>
      </c>
      <c r="V108" s="87" t="n">
        <f aca="false">IF(V$6=1,Energy!$C$7,Energy!$C$6)</f>
        <v>10</v>
      </c>
      <c r="W108" s="87" t="n">
        <f aca="false">IF(W$6=1,Energy!$C$7,Energy!$C$6)</f>
        <v>10</v>
      </c>
      <c r="X108" s="87" t="n">
        <f aca="false">IF(X$6=1,Energy!$C$7,Energy!$C$6)</f>
        <v>10</v>
      </c>
      <c r="Y108" s="87" t="n">
        <f aca="false">IF(Y$6=1,Energy!$C$7,Energy!$C$6)</f>
        <v>10</v>
      </c>
      <c r="Z108" s="87" t="n">
        <f aca="false">IF(Z$6=1,Energy!$C$7,Energy!$C$6)</f>
        <v>10</v>
      </c>
      <c r="AA108" s="87" t="n">
        <f aca="false">IF(AA$6=1,Energy!$C$7,Energy!$C$6)</f>
        <v>10</v>
      </c>
      <c r="AB108" s="87" t="n">
        <f aca="false">IF(AB$6=1,Energy!$C$7,Energy!$C$6)</f>
        <v>10</v>
      </c>
      <c r="AC108" s="87" t="n">
        <f aca="false">IF(AC$6=1,Energy!$C$7,Energy!$C$6)</f>
        <v>10</v>
      </c>
      <c r="AD108" s="87" t="n">
        <f aca="false">IF(AD$6=1,Energy!$C$7,Energy!$C$6)</f>
        <v>10</v>
      </c>
      <c r="AE108" s="87" t="n">
        <f aca="false">IF(AE$6=1,Energy!$C$7,Energy!$C$6)</f>
        <v>10</v>
      </c>
      <c r="AF108" s="87" t="n">
        <f aca="false">IF(AF$6=1,Energy!$C$7,Energy!$C$6)</f>
        <v>10</v>
      </c>
      <c r="AG108" s="87" t="n">
        <f aca="false">IF(AG$6=1,Energy!$C$7,Energy!$C$6)</f>
        <v>10</v>
      </c>
      <c r="AH108" s="87" t="n">
        <f aca="false">IF(AH$6=1,Energy!$C$7,Energy!$C$6)</f>
        <v>10</v>
      </c>
    </row>
    <row r="109" customFormat="false" ht="15" hidden="false" customHeight="false" outlineLevel="0" collapsed="false">
      <c r="A109" s="59" t="s">
        <v>801</v>
      </c>
      <c r="B109" s="59" t="s">
        <v>481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59" t="s">
        <v>802</v>
      </c>
      <c r="B110" s="59" t="s">
        <v>303</v>
      </c>
      <c r="C110" s="112" t="n">
        <f aca="false">IF(C87&gt;0,(C72+C87*C34*C45/1000000000)/(C87*C49),0)</f>
        <v>0.332752090932984</v>
      </c>
      <c r="D110" s="112" t="n">
        <f aca="false">IF(D87&gt;0,(D72+D87*D34*D45/1000000000)/(D87*D49),0)</f>
        <v>0.860383493663677</v>
      </c>
      <c r="E110" s="112" t="n">
        <f aca="false">IF(E87&gt;0,(E72+E87*E34*E45/1000000000)/(E87*E49),0)</f>
        <v>0.638254785892814</v>
      </c>
      <c r="F110" s="112" t="n">
        <f aca="false">IF(F87&gt;0,(F72+F87*F34*F45/1000000000)/(F87*F49),0)</f>
        <v>0.860383493663677</v>
      </c>
      <c r="G110" s="112" t="n">
        <f aca="false">IF(G87&gt;0,(G72+G87*G34*G45/1000000000)/(G87*G49),0)</f>
        <v>0.230917859279708</v>
      </c>
      <c r="H110" s="112" t="n">
        <f aca="false">IF(H87&gt;0,(H72+H87*H34*H45/1000000000)/(H87*H49),0)</f>
        <v>0.860383493663677</v>
      </c>
      <c r="I110" s="112" t="n">
        <f aca="false">IF(I87&gt;0,(I72+I87*I34*I45/1000000000)/(I87*I49),0)</f>
        <v>0.300772299485763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0.406691547238907</v>
      </c>
      <c r="L110" s="112" t="n">
        <f aca="false">IF(L87&gt;0,(L72+L87*L34*L45/1000000000)/(L87*L49),0)</f>
        <v>0.860383493663677</v>
      </c>
      <c r="M110" s="112" t="n">
        <f aca="false">IF(M87&gt;0,(M72+M87*M34*M45/1000000000)/(M87*M49),0)</f>
        <v>0.241101282445035</v>
      </c>
      <c r="N110" s="112" t="n">
        <f aca="false">IF(N87&gt;0,(N72+N87*N34*N45/1000000000)/(N87*N49),0)</f>
        <v>0.860383493663677</v>
      </c>
      <c r="O110" s="112" t="n">
        <f aca="false">IF(O87&gt;0,(O72+O87*O34*O45/1000000000)/(O87*O49),0)</f>
        <v>0.186353236322913</v>
      </c>
      <c r="P110" s="112" t="n">
        <f aca="false">IF(P87&gt;0,(P72+P87*P34*P45/1000000000)/(P87*P49),0)</f>
        <v>0.428677600306284</v>
      </c>
      <c r="Q110" s="112" t="n">
        <f aca="false">IF(Q87&gt;0,(Q72+Q87*Q34*Q45/1000000000)/(Q87*Q49),0)</f>
        <v>0.657518435933998</v>
      </c>
      <c r="R110" s="112" t="n">
        <f aca="false">IF(R87&gt;0,(R72+R87*R34*R45/1000000000)/(R87*R49),0)</f>
        <v>2.12180342684128</v>
      </c>
      <c r="S110" s="112" t="n">
        <f aca="false">IF(S87&gt;0,(S72+S87*S34*S45/1000000000)/(S87*S49),0)</f>
        <v>0.48045501508051</v>
      </c>
      <c r="T110" s="112" t="n">
        <f aca="false">IF(T87&gt;0,(T72+T87*T34*T45/1000000000)/(T87*T49),0)</f>
        <v>1.31203080084482</v>
      </c>
      <c r="U110" s="112" t="n">
        <f aca="false">IF(U87&gt;0,(U72+U87*U34*U45/1000000000)/(U87*U49),0)</f>
        <v>0.234184762457042</v>
      </c>
      <c r="V110" s="112" t="n">
        <f aca="false">IF(V87&gt;0,(V72+V87*V34*V45/1000000000)/(V87*V49),0)</f>
        <v>0.579870029644223</v>
      </c>
      <c r="W110" s="112" t="n">
        <f aca="false">IF(W87&gt;0,(W72+W87*W34*W45/1000000000)/(W87*W49),0)</f>
        <v>0.311730983731019</v>
      </c>
      <c r="X110" s="112" t="n">
        <f aca="false">IF(X87&gt;0,(X72+X87*X34*X45/1000000000)/(X87*X49),0)</f>
        <v>0.836277385754872</v>
      </c>
      <c r="Y110" s="112" t="n">
        <f aca="false">IF(Y87&gt;0,(Y72+Y87*Y34*Y45/1000000000)/(Y87*Y49),0)</f>
        <v>0.416836519740844</v>
      </c>
      <c r="Z110" s="112" t="n">
        <f aca="false">IF(Z87&gt;0,(Z72+Z87*Z34*Z45/1000000000)/(Z87*Z49),0)</f>
        <v>0.956807925298895</v>
      </c>
      <c r="AA110" s="112" t="n">
        <f aca="false">IF(AA87&gt;0,(AA72+AA87*AA34*AA45/1000000000)/(AA87*AA49),0)</f>
        <v>0.551194180340222</v>
      </c>
      <c r="AB110" s="112" t="n">
        <f aca="false">IF(AB87&gt;0,(AB72+AB87*AB34*AB45/1000000000)/(AB87*AB49),0)</f>
        <v>1.50613808667714</v>
      </c>
      <c r="AC110" s="112" t="n">
        <f aca="false">IF(AC87&gt;0,(AC72+AC87*AC34*AC45/1000000000)/(AC87*AC49),0)</f>
        <v>3.50674200205479</v>
      </c>
      <c r="AD110" s="112" t="n">
        <f aca="false">IF(AD87&gt;0,(AD72+AD87*AD34*AD45/1000000000)/(AD87*AD49),0)</f>
        <v>12.8689300822067</v>
      </c>
      <c r="AE110" s="112" t="n">
        <f aca="false">IF(AE87&gt;0,(AE72+AE87*AE34*AE45/1000000000)/(AE87*AE49),0)</f>
        <v>4.09260745171922</v>
      </c>
      <c r="AF110" s="112" t="n">
        <f aca="false">IF(AF87&gt;0,(AF72+AF87*AF34*AF45/1000000000)/(AF87*AF49),0)</f>
        <v>13.4547955318711</v>
      </c>
      <c r="AG110" s="112" t="n">
        <f aca="false">IF(AG87&gt;0,(AG72+AG87*AG34*AG45/1000000000)/(AG87*AG49),0)</f>
        <v>6.1158665121219</v>
      </c>
      <c r="AH110" s="112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9" t="s">
        <v>803</v>
      </c>
      <c r="B111" s="59" t="s">
        <v>303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59" t="s">
        <v>804</v>
      </c>
      <c r="B112" s="59" t="s">
        <v>805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59" t="s">
        <v>806</v>
      </c>
      <c r="B113" s="59" t="s">
        <v>805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8" t="s">
        <v>807</v>
      </c>
      <c r="B114" s="59" t="s">
        <v>731</v>
      </c>
      <c r="C114" s="72" t="n">
        <f aca="false">IF(ISNUMBER(C95),(C97*C113+C96*C112)/1000,C95)</f>
        <v>9.50324638508435</v>
      </c>
      <c r="D114" s="72" t="n">
        <f aca="false">IF(ISNUMBER(D95),(D97*D113+D96*D112)/1000,D95)</f>
        <v>7.33728128497566</v>
      </c>
      <c r="E114" s="72" t="n">
        <f aca="false">IF(ISNUMBER(E95),(E97*E113+E96*E112)/1000,E95)</f>
        <v>6.29443574734431</v>
      </c>
      <c r="F114" s="72" t="n">
        <f aca="false">IF(ISNUMBER(F95),(F97*F113+F96*F112)/1000,F95)</f>
        <v>7.33728128497566</v>
      </c>
      <c r="G114" s="72" t="n">
        <f aca="false">IF(ISNUMBER(G95),(G97*G113+G96*G112)/1000,G95)</f>
        <v>11.8995124442051</v>
      </c>
      <c r="H114" s="72" t="n">
        <f aca="false">IF(ISNUMBER(H95),(H97*H113+H96*H112)/1000,H95)</f>
        <v>7.33728128497566</v>
      </c>
      <c r="I114" s="72" t="n">
        <f aca="false">IF(ISNUMBER(I95),(I97*I113+I96*I112)/1000,I95)</f>
        <v>10.1237748047105</v>
      </c>
      <c r="J114" s="72" t="n">
        <f aca="false">IF(ISNUMBER(J95),(J97*J113+J96*J112)/1000,J95)</f>
        <v>7.33728128497566</v>
      </c>
      <c r="K114" s="72" t="n">
        <f aca="false">IF(ISNUMBER(K95),(K97*K113+K96*K112)/1000,K95)</f>
        <v>8.36994607996352</v>
      </c>
      <c r="L114" s="72" t="n">
        <f aca="false">IF(ISNUMBER(L95),(L97*L113+L96*L112)/1000,L95)</f>
        <v>7.33728128497566</v>
      </c>
      <c r="M114" s="72" t="n">
        <f aca="false">IF(ISNUMBER(M95),(M97*M113+M96*M112)/1000,M95)</f>
        <v>9.56242757219873</v>
      </c>
      <c r="N114" s="72" t="n">
        <f aca="false">IF(ISNUMBER(N95),(N97*N113+N96*N112)/1000,N95)</f>
        <v>7.33728128497566</v>
      </c>
      <c r="O114" s="72" t="n">
        <f aca="false">IF(ISNUMBER(O95),(O97*O113+O96*O112)/1000,O95)</f>
        <v>9.98942019000766</v>
      </c>
      <c r="P114" s="72" t="n">
        <f aca="false">IF(ISNUMBER(P95),(P97*P113+P96*P112)/1000,P95)</f>
        <v>7.7280067311249</v>
      </c>
      <c r="Q114" s="72" t="n">
        <f aca="false">IF(ISNUMBER(Q95),(Q97*Q113+Q96*Q112)/1000,Q95)</f>
        <v>8.72973414175519</v>
      </c>
      <c r="R114" s="72" t="n">
        <f aca="false">IF(ISNUMBER(R95),(R97*R113+R96*R112)/1000,R95)</f>
        <v>6.68552634212737</v>
      </c>
      <c r="S114" s="72" t="n">
        <f aca="false">IF(ISNUMBER(S95),(S97*S113+S96*S112)/1000,S95)</f>
        <v>8.71645791703756</v>
      </c>
      <c r="T114" s="72" t="n">
        <f aca="false">IF(ISNUMBER(T95),(T97*T113+T96*T112)/1000,T95)</f>
        <v>6.77567388444752</v>
      </c>
      <c r="U114" s="72" t="n">
        <f aca="false">IF(ISNUMBER(U95),(U97*U113+U96*U112)/1000,U95)</f>
        <v>10.3404662825754</v>
      </c>
      <c r="V114" s="72" t="n">
        <f aca="false">IF(ISNUMBER(V95),(V97*V113+V96*V112)/1000,V95)</f>
        <v>7.95636854594372</v>
      </c>
      <c r="W114" s="72" t="n">
        <f aca="false">IF(ISNUMBER(W95),(W97*W113+W96*W112)/1000,W95)</f>
        <v>5.3496840894383</v>
      </c>
      <c r="X114" s="72" t="n">
        <f aca="false">IF(ISNUMBER(X95),(X97*X113+X96*X112)/1000,X95)</f>
        <v>4.54779380694189</v>
      </c>
      <c r="Y114" s="72" t="n">
        <f aca="false">IF(ISNUMBER(Y95),(Y97*Y113+Y96*Y112)/1000,Y95)</f>
        <v>16.0471322105446</v>
      </c>
      <c r="Z114" s="72" t="n">
        <f aca="false">IF(ISNUMBER(Z95),(Z97*Z113+Z96*Z112)/1000,Z95)</f>
        <v>12.1042761766842</v>
      </c>
      <c r="AA114" s="72" t="n">
        <f aca="false">IF(ISNUMBER(AA95),(AA97*AA113+AA96*AA112)/1000,AA95)</f>
        <v>6.37550722943314</v>
      </c>
      <c r="AB114" s="72" t="n">
        <f aca="false">IF(ISNUMBER(AB95),(AB97*AB113+AB96*AB112)/1000,AB95)</f>
        <v>5.10988154589834</v>
      </c>
      <c r="AC114" s="72" t="n">
        <f aca="false">IF(ISNUMBER(AC95),(AC97*AC113+AC96*AC112)/1000,AC95)</f>
        <v>9.15173267203967</v>
      </c>
      <c r="AD114" s="72" t="n">
        <f aca="false">IF(ISNUMBER(AD95),(AD97*AD113+AD96*AD112)/1000,AD95)</f>
        <v>7.15723850535634</v>
      </c>
      <c r="AE114" s="72" t="n">
        <f aca="false">IF(ISNUMBER(AE95),(AE97*AE113+AE96*AE112)/1000,AE95)</f>
        <v>9.67305562039299</v>
      </c>
      <c r="AF114" s="72" t="n">
        <f aca="false">IF(ISNUMBER(AF95),(AF97*AF113+AF96*AF112)/1000,AF95)</f>
        <v>7.34212898141256</v>
      </c>
      <c r="AG114" s="72" t="n">
        <f aca="false">IF(ISNUMBER(AG95),(AG97*AG113+AG96*AG112)/1000,AG95)</f>
        <v>11.4734201567483</v>
      </c>
      <c r="AH114" s="72" t="n">
        <f aca="false">IF(ISNUMBER(AH95),(AH97*AH113+AH96*AH112)/1000,AH95)</f>
        <v>7.98063963445955</v>
      </c>
    </row>
    <row r="115" customFormat="false" ht="15" hidden="false" customHeight="false" outlineLevel="0" collapsed="false">
      <c r="A115" s="58" t="s">
        <v>808</v>
      </c>
      <c r="B115" s="59" t="s">
        <v>731</v>
      </c>
      <c r="C115" s="96" t="n">
        <f aca="false">C26*Inputs!$E$10</f>
        <v>181.6</v>
      </c>
      <c r="D115" s="96" t="n">
        <f aca="false">D26*Inputs!$E$10</f>
        <v>108.8</v>
      </c>
      <c r="E115" s="96" t="n">
        <f aca="false">E26*Inputs!$E$10</f>
        <v>181.6</v>
      </c>
      <c r="F115" s="96" t="n">
        <f aca="false">F26*Inputs!$E$10</f>
        <v>108.8</v>
      </c>
      <c r="G115" s="96" t="n">
        <f aca="false">G26*Inputs!$E$10</f>
        <v>181.6</v>
      </c>
      <c r="H115" s="96" t="n">
        <f aca="false">H26*Inputs!$E$10</f>
        <v>108.8</v>
      </c>
      <c r="I115" s="96" t="n">
        <f aca="false">I26*Inputs!$E$10</f>
        <v>181.6</v>
      </c>
      <c r="J115" s="96" t="n">
        <f aca="false">J26*Inputs!$E$10</f>
        <v>108.8</v>
      </c>
      <c r="K115" s="96" t="n">
        <f aca="false">K26*Inputs!$E$10</f>
        <v>181.6</v>
      </c>
      <c r="L115" s="96" t="n">
        <f aca="false">L26*Inputs!$E$10</f>
        <v>108.8</v>
      </c>
      <c r="M115" s="96" t="n">
        <f aca="false">M26*Inputs!$E$10</f>
        <v>181.6</v>
      </c>
      <c r="N115" s="96" t="n">
        <f aca="false">N26*Inputs!$E$10</f>
        <v>108.8</v>
      </c>
      <c r="O115" s="96" t="n">
        <f aca="false">O26*Inputs!$E$10</f>
        <v>181.6</v>
      </c>
      <c r="P115" s="96" t="n">
        <f aca="false">P26*Inputs!$E$10</f>
        <v>108.8</v>
      </c>
      <c r="Q115" s="96" t="n">
        <f aca="false">Q26*Inputs!$E$10</f>
        <v>181.6</v>
      </c>
      <c r="R115" s="96" t="n">
        <f aca="false">R26*Inputs!$E$10</f>
        <v>108.8</v>
      </c>
      <c r="S115" s="96" t="n">
        <f aca="false">S26*Inputs!$E$10</f>
        <v>181.6</v>
      </c>
      <c r="T115" s="96" t="n">
        <f aca="false">T26*Inputs!$E$10</f>
        <v>108.8</v>
      </c>
      <c r="U115" s="96" t="n">
        <f aca="false">U26*Inputs!$E$10</f>
        <v>181.6</v>
      </c>
      <c r="V115" s="96" t="n">
        <f aca="false">V26*Inputs!$E$10</f>
        <v>108.8</v>
      </c>
      <c r="W115" s="96" t="n">
        <f aca="false">W26*Inputs!$E$10</f>
        <v>181.6</v>
      </c>
      <c r="X115" s="96" t="n">
        <f aca="false">X26*Inputs!$E$10</f>
        <v>108.8</v>
      </c>
      <c r="Y115" s="96" t="n">
        <f aca="false">Y26*Inputs!$E$10</f>
        <v>181.6</v>
      </c>
      <c r="Z115" s="96" t="n">
        <f aca="false">Z26*Inputs!$E$10</f>
        <v>108.8</v>
      </c>
      <c r="AA115" s="96" t="n">
        <f aca="false">AA26*Inputs!$E$10</f>
        <v>181.6</v>
      </c>
      <c r="AB115" s="96" t="n">
        <f aca="false">AB26*Inputs!$E$10</f>
        <v>108.8</v>
      </c>
      <c r="AC115" s="96" t="n">
        <f aca="false">AC26*Inputs!$E$10</f>
        <v>181.6</v>
      </c>
      <c r="AD115" s="96" t="n">
        <f aca="false">AD26*Inputs!$E$10</f>
        <v>108.8</v>
      </c>
      <c r="AE115" s="96" t="n">
        <f aca="false">AE26*Inputs!$E$10</f>
        <v>181.6</v>
      </c>
      <c r="AF115" s="96" t="n">
        <f aca="false">AF26*Inputs!$E$10</f>
        <v>108.8</v>
      </c>
      <c r="AG115" s="96" t="n">
        <f aca="false">AG26*Inputs!$E$10</f>
        <v>181.6</v>
      </c>
      <c r="AH115" s="96" t="n">
        <f aca="false">AH26*Inputs!$E$10</f>
        <v>108.8</v>
      </c>
    </row>
    <row r="116" customFormat="false" ht="15" hidden="false" customHeight="false" outlineLevel="0" collapsed="false">
      <c r="A116" s="58" t="s">
        <v>809</v>
      </c>
      <c r="B116" s="59" t="s">
        <v>93</v>
      </c>
      <c r="C116" s="116" t="n">
        <f aca="false">IF(ISNUMBER(C114),IF(C115&gt;0,C114/C115,0),C114)</f>
        <v>0.0523306519002442</v>
      </c>
      <c r="D116" s="116" t="n">
        <f aca="false">IF(ISNUMBER(D114),IF(D115&gt;0,D114/D115,0),D114)</f>
        <v>0.0674382471045557</v>
      </c>
      <c r="E116" s="116" t="n">
        <f aca="false">IF(ISNUMBER(E114),IF(E115&gt;0,E114/E115,0),E114)</f>
        <v>0.0346609897981515</v>
      </c>
      <c r="F116" s="116" t="n">
        <f aca="false">IF(ISNUMBER(F114),IF(F115&gt;0,F114/F115,0),F114)</f>
        <v>0.0674382471045557</v>
      </c>
      <c r="G116" s="116" t="n">
        <f aca="false">IF(ISNUMBER(G114),IF(G115&gt;0,G114/G115,0),G114)</f>
        <v>0.0655259495826273</v>
      </c>
      <c r="H116" s="116" t="n">
        <f aca="false">IF(ISNUMBER(H114),IF(H115&gt;0,H114/H115,0),H114)</f>
        <v>0.0674382471045557</v>
      </c>
      <c r="I116" s="116" t="n">
        <f aca="false">IF(ISNUMBER(I114),IF(I115&gt;0,I114/I115,0),I114)</f>
        <v>0.055747658616247</v>
      </c>
      <c r="J116" s="116" t="n">
        <f aca="false">IF(ISNUMBER(J114),IF(J115&gt;0,J114/J115,0),J114)</f>
        <v>0.0674382471045557</v>
      </c>
      <c r="K116" s="116" t="n">
        <f aca="false">IF(ISNUMBER(K114),IF(K115&gt;0,K114/K115,0),K114)</f>
        <v>0.0460900114535436</v>
      </c>
      <c r="L116" s="116" t="n">
        <f aca="false">IF(ISNUMBER(L114),IF(L115&gt;0,L114/L115,0),L114)</f>
        <v>0.0674382471045557</v>
      </c>
      <c r="M116" s="116" t="n">
        <f aca="false">IF(ISNUMBER(M114),IF(M115&gt;0,M114/M115,0),M114)</f>
        <v>0.0526565394944864</v>
      </c>
      <c r="N116" s="116" t="n">
        <f aca="false">IF(ISNUMBER(N114),IF(N115&gt;0,N114/N115,0),N114)</f>
        <v>0.0674382471045557</v>
      </c>
      <c r="O116" s="116" t="n">
        <f aca="false">IF(ISNUMBER(O114),IF(O115&gt;0,O114/O115,0),O114)</f>
        <v>0.0550078204295576</v>
      </c>
      <c r="P116" s="116" t="n">
        <f aca="false">IF(ISNUMBER(P114),IF(P115&gt;0,P114/P115,0),P114)</f>
        <v>0.0710294736316627</v>
      </c>
      <c r="Q116" s="116" t="n">
        <f aca="false">IF(ISNUMBER(Q114),IF(Q115&gt;0,Q114/Q115,0),Q114)</f>
        <v>0.0480712232475506</v>
      </c>
      <c r="R116" s="116" t="n">
        <f aca="false">IF(ISNUMBER(R114),IF(R115&gt;0,R114/R115,0),R114)</f>
        <v>0.0614478524092589</v>
      </c>
      <c r="S116" s="116" t="n">
        <f aca="false">IF(ISNUMBER(S114),IF(S115&gt;0,S114/S115,0),S114)</f>
        <v>0.0479981162832465</v>
      </c>
      <c r="T116" s="116" t="n">
        <f aca="false">IF(ISNUMBER(T114),IF(T115&gt;0,T114/T115,0),T114)</f>
        <v>0.0622764143791132</v>
      </c>
      <c r="U116" s="116" t="n">
        <f aca="false">IF(ISNUMBER(U114),IF(U115&gt;0,U114/U115,0),U114)</f>
        <v>0.0569408936265166</v>
      </c>
      <c r="V116" s="116" t="n">
        <f aca="false">IF(ISNUMBER(V114),IF(V115&gt;0,V114/V115,0),V114)</f>
        <v>0.0731283873708063</v>
      </c>
      <c r="W116" s="116" t="n">
        <f aca="false">IF(ISNUMBER(W114),IF(W115&gt;0,W114/W115,0),W114)</f>
        <v>0.0294586128273034</v>
      </c>
      <c r="X116" s="116" t="n">
        <f aca="false">IF(ISNUMBER(X114),IF(X115&gt;0,X114/X115,0),X114)</f>
        <v>0.0417995754314512</v>
      </c>
      <c r="Y116" s="116" t="n">
        <f aca="false">IF(ISNUMBER(Y114),IF(Y115&gt;0,Y114/Y115,0),Y114)</f>
        <v>0.0883652654765674</v>
      </c>
      <c r="Z116" s="116" t="n">
        <f aca="false">IF(ISNUMBER(Z114),IF(Z115&gt;0,Z114/Z115,0),Z114)</f>
        <v>0.111252538388641</v>
      </c>
      <c r="AA116" s="116" t="n">
        <f aca="false">IF(ISNUMBER(AA114),IF(AA115&gt;0,AA114/AA115,0),AA114)</f>
        <v>0.0351074186642794</v>
      </c>
      <c r="AB116" s="116" t="n">
        <f aca="false">IF(ISNUMBER(AB114),IF(AB115&gt;0,AB114/AB115,0),AB114)</f>
        <v>0.0469658230321538</v>
      </c>
      <c r="AC116" s="116" t="n">
        <f aca="false">IF(ISNUMBER(AC114),IF(AC115&gt;0,AC114/AC115,0),AC114)</f>
        <v>0.050395003700659</v>
      </c>
      <c r="AD116" s="116" t="n">
        <f aca="false">IF(ISNUMBER(AD114),IF(AD115&gt;0,AD114/AD115,0),AD114)</f>
        <v>0.0657834421448193</v>
      </c>
      <c r="AE116" s="116" t="n">
        <f aca="false">IF(ISNUMBER(AE114),IF(AE115&gt;0,AE114/AE115,0),AE114)</f>
        <v>0.0532657247818997</v>
      </c>
      <c r="AF116" s="116" t="n">
        <f aca="false">IF(ISNUMBER(AF114),IF(AF115&gt;0,AF114/AF115,0),AF114)</f>
        <v>0.067482803137983</v>
      </c>
      <c r="AG116" s="116" t="n">
        <f aca="false">IF(ISNUMBER(AG114),IF(AG115&gt;0,AG114/AG115,0),AG114)</f>
        <v>0.0631796264138123</v>
      </c>
      <c r="AH116" s="116" t="n">
        <f aca="false">IF(ISNUMBER(AH114),IF(AH115&gt;0,AH114/AH115,0),AH114)</f>
        <v>0.0733514672284885</v>
      </c>
    </row>
    <row r="117" customFormat="false" ht="15" hidden="false" customHeight="false" outlineLevel="0" collapsed="false">
      <c r="A117" s="59" t="s">
        <v>810</v>
      </c>
      <c r="B117" s="59" t="s">
        <v>811</v>
      </c>
      <c r="C117" s="117" t="n">
        <f aca="false">IF(ISNUMBER(C95),C95/(C115*1000),C95)</f>
        <v>10.2254558466635</v>
      </c>
      <c r="D117" s="117" t="n">
        <f aca="false">IF(ISNUMBER(D95),D95/(D115*1000),D95)</f>
        <v>6.5319368821654</v>
      </c>
      <c r="E117" s="117" t="n">
        <f aca="false">IF(ISNUMBER(E95),E95/(E115*1000),E95)</f>
        <v>5.97955974700307</v>
      </c>
      <c r="F117" s="117" t="n">
        <f aca="false">IF(ISNUMBER(F95),F95/(F115*1000),F95)</f>
        <v>6.5319368821654</v>
      </c>
      <c r="G117" s="117" t="n">
        <f aca="false">IF(ISNUMBER(G95),G95/(G115*1000),G95)</f>
        <v>13.3961935008292</v>
      </c>
      <c r="H117" s="117" t="n">
        <f aca="false">IF(ISNUMBER(H95),H95/(H115*1000),H95)</f>
        <v>6.5319368821654</v>
      </c>
      <c r="I117" s="117" t="n">
        <f aca="false">IF(ISNUMBER(I95),I95/(I115*1000),I95)</f>
        <v>11.0465386384093</v>
      </c>
      <c r="J117" s="117" t="n">
        <f aca="false">IF(ISNUMBER(J95),J95/(J115*1000),J95)</f>
        <v>6.5319368821654</v>
      </c>
      <c r="K117" s="117" t="n">
        <f aca="false">IF(ISNUMBER(K95),K95/(K115*1000),K95)</f>
        <v>8.72587363739812</v>
      </c>
      <c r="L117" s="117" t="n">
        <f aca="false">IF(ISNUMBER(L95),L95/(L115*1000),L95)</f>
        <v>6.5319368821654</v>
      </c>
      <c r="M117" s="117" t="n">
        <f aca="false">IF(ISNUMBER(M95),M95/(M115*1000),M95)</f>
        <v>14.6077940666622</v>
      </c>
      <c r="N117" s="117" t="n">
        <f aca="false">IF(ISNUMBER(N95),N95/(N115*1000),N95)</f>
        <v>6.5319368821654</v>
      </c>
      <c r="O117" s="117" t="n">
        <f aca="false">IF(ISNUMBER(O95),O95/(O115*1000),O95)</f>
        <v>11.4782483386606</v>
      </c>
      <c r="P117" s="117" t="n">
        <f aca="false">IF(ISNUMBER(P95),P95/(P115*1000),P95)</f>
        <v>7.78387754358353</v>
      </c>
      <c r="Q117" s="117" t="n">
        <f aca="false">IF(ISNUMBER(Q95),Q95/(Q115*1000),Q95)</f>
        <v>8.2322379457866</v>
      </c>
      <c r="R117" s="117" t="n">
        <f aca="false">IF(ISNUMBER(R95),R95/(R115*1000),R95)</f>
        <v>4.44362007998722</v>
      </c>
      <c r="S117" s="117" t="n">
        <f aca="false">IF(ISNUMBER(S95),S95/(S115*1000),S95)</f>
        <v>8.62243639507889</v>
      </c>
      <c r="T117" s="117" t="n">
        <f aca="false">IF(ISNUMBER(T95),T95/(T115*1000),T95)</f>
        <v>5.27934470861231</v>
      </c>
      <c r="U117" s="117" t="n">
        <f aca="false">IF(ISNUMBER(U95),U95/(U115*1000),U95)</f>
        <v>11.8770690260984</v>
      </c>
      <c r="V117" s="117" t="n">
        <f aca="false">IF(ISNUMBER(V95),V95/(V115*1000),V95)</f>
        <v>7.81519290978012</v>
      </c>
      <c r="W117" s="117" t="n">
        <f aca="false">IF(ISNUMBER(W95),W95/(W115*1000),W95)</f>
        <v>4.43327030603584</v>
      </c>
      <c r="X117" s="117" t="n">
        <f aca="false">IF(ISNUMBER(X95),X95/(X115*1000),X95)</f>
        <v>2.7458327317775</v>
      </c>
      <c r="Y117" s="117" t="n">
        <f aca="false">IF(ISNUMBER(Y95),Y95/(Y115*1000),Y95)</f>
        <v>19.7330966866484</v>
      </c>
      <c r="Z117" s="117" t="n">
        <f aca="false">IF(ISNUMBER(Z95),Z95/(Z115*1000),Z95)</f>
        <v>13.2599852270835</v>
      </c>
      <c r="AA117" s="117" t="n">
        <f aca="false">IF(ISNUMBER(AA95),AA95/(AA115*1000),AA95)</f>
        <v>6.26570122094223</v>
      </c>
      <c r="AB117" s="117" t="n">
        <f aca="false">IF(ISNUMBER(AB95),AB95/(AB115*1000),AB95)</f>
        <v>3.87565942521425</v>
      </c>
      <c r="AC117" s="117" t="n">
        <f aca="false">IF(ISNUMBER(AC95),AC95/(AC115*1000),AC95)</f>
        <v>2.20498492836244</v>
      </c>
      <c r="AD117" s="117" t="n">
        <f aca="false">IF(ISNUMBER(AD95),AD95/(AD115*1000),AD95)</f>
        <v>1.0442157971414</v>
      </c>
      <c r="AE117" s="117" t="n">
        <f aca="false">IF(ISNUMBER(AE95),AE95/(AE115*1000),AE95)</f>
        <v>2.20498492836244</v>
      </c>
      <c r="AF117" s="117" t="n">
        <f aca="false">IF(ISNUMBER(AF95),AF95/(AF115*1000),AF95)</f>
        <v>1.0442157971414</v>
      </c>
      <c r="AG117" s="117" t="n">
        <f aca="false">IF(ISNUMBER(AG95),AG95/(AG115*1000),AG95)</f>
        <v>2.20498492836244</v>
      </c>
      <c r="AH117" s="117" t="n">
        <f aca="false">IF(ISNUMBER(AH95),AH95/(AH115*1000),AH95)</f>
        <v>1.0442157971414</v>
      </c>
    </row>
    <row r="118" customFormat="false" ht="15" hidden="false" customHeight="false" outlineLevel="0" collapsed="false">
      <c r="A118" s="58" t="s">
        <v>812</v>
      </c>
      <c r="B118" s="59" t="s">
        <v>805</v>
      </c>
      <c r="C118" s="112" t="n">
        <f aca="false">IF(ISNUMBER(C96),IF(C96&gt;0,C115*1000*(1-C94)/C96,0),C96)</f>
        <v>0.624971170995125</v>
      </c>
      <c r="D118" s="112" t="n">
        <f aca="false">IF(ISNUMBER(D96),IF(D96&gt;0,D115*1000*(1-D94)/D96,0),D96)</f>
        <v>1.02111086940665</v>
      </c>
      <c r="E118" s="112" t="n">
        <f aca="false">IF(ISNUMBER(E96),IF(E96&gt;0,E115*1000*(1-E94)/E96,0),E96)</f>
        <v>1.24994234199025</v>
      </c>
      <c r="F118" s="112" t="n">
        <f aca="false">IF(ISNUMBER(F96),IF(F96&gt;0,F115*1000*(1-F94)/F96,0),F96)</f>
        <v>1.02111086940665</v>
      </c>
      <c r="G118" s="112" t="n">
        <f aca="false">IF(ISNUMBER(G96),IF(G96&gt;0,G115*1000*(1-G94)/G96,0),G96)</f>
        <v>0.416647447330083</v>
      </c>
      <c r="H118" s="112" t="n">
        <f aca="false">IF(ISNUMBER(H96),IF(H96&gt;0,H115*1000*(1-H94)/H96,0),H96)</f>
        <v>1.02111086940665</v>
      </c>
      <c r="I118" s="112" t="n">
        <f aca="false">IF(ISNUMBER(I96),IF(I96&gt;0,I115*1000*(1-I94)/I96,0),I96)</f>
        <v>0.559549660682171</v>
      </c>
      <c r="J118" s="112" t="n">
        <f aca="false">IF(ISNUMBER(J96),IF(J96&gt;0,J115*1000*(1-J94)/J96,0),J96)</f>
        <v>1.02111086940665</v>
      </c>
      <c r="K118" s="112" t="n">
        <f aca="false">IF(ISNUMBER(K96),IF(K96&gt;0,K115*1000*(1-K94)/K96,0),K96)</f>
        <v>0.776230159385821</v>
      </c>
      <c r="L118" s="112" t="n">
        <f aca="false">IF(ISNUMBER(L96),IF(L96&gt;0,L115*1000*(1-L94)/L96,0),L96)</f>
        <v>1.02111086940665</v>
      </c>
      <c r="M118" s="112" t="n">
        <f aca="false">IF(ISNUMBER(M96),IF(M96&gt;0,M115*1000*(1-M94)/M96,0),M96)</f>
        <v>0.437479819696587</v>
      </c>
      <c r="N118" s="112" t="n">
        <f aca="false">IF(ISNUMBER(N96),IF(N96&gt;0,N115*1000*(1-N94)/N96,0),N96)</f>
        <v>1.02111086940665</v>
      </c>
      <c r="O118" s="112" t="n">
        <f aca="false">IF(ISNUMBER(O96),IF(O96&gt;0,O115*1000*(1-O94)/O96,0),O96)</f>
        <v>0.528906575824846</v>
      </c>
      <c r="P118" s="112" t="n">
        <f aca="false">IF(ISNUMBER(P96),IF(P96&gt;0,P115*1000*(1-P94)/P96,0),P96)</f>
        <v>0.799501417339934</v>
      </c>
      <c r="Q118" s="112" t="n">
        <f aca="false">IF(ISNUMBER(Q96),IF(Q96&gt;0,Q115*1000*(1-Q94)/Q96,0),Q96)</f>
        <v>0.838077670636463</v>
      </c>
      <c r="R118" s="112" t="n">
        <f aca="false">IF(ISNUMBER(R96),IF(R96&gt;0,R115*1000*(1-R94)/R96,0),R96)</f>
        <v>1.66864101555202</v>
      </c>
      <c r="S118" s="112" t="n">
        <f aca="false">IF(ISNUMBER(S96),IF(S96&gt;0,S115*1000*(1-S94)/S96,0),S96)</f>
        <v>0.788603316398735</v>
      </c>
      <c r="T118" s="112" t="n">
        <f aca="false">IF(ISNUMBER(T96),IF(T96&gt;0,T115*1000*(1-T94)/T96,0),T96)</f>
        <v>1.34802237371739</v>
      </c>
      <c r="U118" s="112" t="n">
        <f aca="false">IF(ISNUMBER(U96),IF(U96&gt;0,U115*1000*(1-U94)/U96,0),U96)</f>
        <v>0.502577519718467</v>
      </c>
      <c r="V118" s="112" t="n">
        <f aca="false">IF(ISNUMBER(V96),IF(V96&gt;0,V115*1000*(1-V94)/V96,0),V96)</f>
        <v>0.79486839593678</v>
      </c>
      <c r="W118" s="112" t="n">
        <f aca="false">IF(ISNUMBER(W96),IF(W96&gt;0,W115*1000*(1-W94)/W96,0),W96)</f>
        <v>0.621317035751665</v>
      </c>
      <c r="X118" s="112" t="n">
        <f aca="false">IF(ISNUMBER(X96),IF(X96&gt;0,X115*1000*(1-X94)/X96,0),X96)</f>
        <v>1.01514055047268</v>
      </c>
      <c r="Y118" s="112" t="n">
        <f aca="false">IF(ISNUMBER(Y96),IF(Y96&gt;0,Y115*1000*(1-Y94)/Y96,0),Y96)</f>
        <v>0.639587711968964</v>
      </c>
      <c r="Z118" s="112" t="n">
        <f aca="false">IF(ISNUMBER(Z96),IF(Z96&gt;0,Z115*1000*(1-Z94)/Z96,0),Z96)</f>
        <v>1.04499214514254</v>
      </c>
      <c r="AA118" s="112" t="n">
        <f aca="false">IF(ISNUMBER(AA96),IF(AA96&gt;0,AA115*1000*(1-AA94)/AA96,0),AA96)</f>
        <v>1.07184123356336</v>
      </c>
      <c r="AB118" s="112" t="n">
        <f aca="false">IF(ISNUMBER(AB96),IF(AB96&gt;0,AB115*1000*(1-AB94)/AB96,0),AB96)</f>
        <v>1.81256453301635</v>
      </c>
      <c r="AC118" s="112" t="n">
        <f aca="false">IF(ISNUMBER(AC96),IF(AC96&gt;0,AC115*1000*(1-AC94)/AC96,0),AC96)</f>
        <v>3.2350958574337</v>
      </c>
      <c r="AD118" s="112" t="n">
        <f aca="false">IF(ISNUMBER(AD96),IF(AD96&gt;0,AD115*1000*(1-AD94)/AD96,0),AD96)</f>
        <v>7.43545790299751</v>
      </c>
      <c r="AE118" s="112" t="n">
        <f aca="false">IF(ISNUMBER(AE96),IF(AE96&gt;0,AE115*1000*(1-AE94)/AE96,0),AE96)</f>
        <v>3.2350958574337</v>
      </c>
      <c r="AF118" s="112" t="n">
        <f aca="false">IF(ISNUMBER(AF96),IF(AF96&gt;0,AF115*1000*(1-AF94)/AF96,0),AF96)</f>
        <v>7.43545790299751</v>
      </c>
      <c r="AG118" s="112" t="n">
        <f aca="false">IF(ISNUMBER(AG96),IF(AG96&gt;0,AG115*1000*(1-AG94)/AG96,0),AG96)</f>
        <v>3.2350958574337</v>
      </c>
      <c r="AH118" s="112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3" t="s">
        <v>833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59" t="s">
        <v>834</v>
      </c>
      <c r="B120" s="59" t="s">
        <v>97</v>
      </c>
      <c r="C120" s="102" t="n">
        <f aca="false">IF(AND(ISNUMBER(D98),ISNUMBER(C98)),IF(D98&gt;0,C98/D98,0),"SLO 不可達")</f>
        <v>1.56528522129431</v>
      </c>
      <c r="E120" s="102" t="n">
        <f aca="false">IF(AND(ISNUMBER(F98),ISNUMBER(E98)),IF(F98&gt;0,E98/F98,0),"SLO 不可達")</f>
        <v>0.915334889924169</v>
      </c>
      <c r="G120" s="102" t="n">
        <f aca="false">IF(AND(ISNUMBER(H98),ISNUMBER(G98)),IF(H98&gt;0,G98/H98,0),"SLO 不可達")</f>
        <v>2.0506531956019</v>
      </c>
      <c r="I120" s="102" t="n">
        <f aca="false">IF(AND(ISNUMBER(J98),ISNUMBER(I98)),IF(J98&gt;0,I98/J98,0),"SLO 不可達")</f>
        <v>1.69097436206723</v>
      </c>
      <c r="K120" s="102" t="n">
        <f aca="false">IF(AND(ISNUMBER(L98),ISNUMBER(K98)),IF(L98&gt;0,K98/L98,0),"SLO 不可達")</f>
        <v>1.33573321838336</v>
      </c>
      <c r="M120" s="102" t="n">
        <f aca="false">IF(AND(ISNUMBER(N98),ISNUMBER(M98)),IF(N98&gt;0,M98/N98,0),"SLO 不可達")</f>
        <v>2.23612174470615</v>
      </c>
      <c r="O120" s="102" t="n">
        <f aca="false">IF(AND(ISNUMBER(P98),ISNUMBER(O98)),IF(P98&gt;0,O98/P98,0),"SLO 不可達")</f>
        <v>1.47445800740157</v>
      </c>
      <c r="Q120" s="102" t="n">
        <f aca="false">IF(AND(ISNUMBER(R98),ISNUMBER(Q98)),IF(R98&gt;0,Q98/R98,0),"SLO 不可達")</f>
        <v>1.85239577096268</v>
      </c>
      <c r="S120" s="102" t="n">
        <f aca="false">IF(AND(ISNUMBER(T98),ISNUMBER(S98)),IF(T98&gt;0,S98/T98,0),"SLO 不可達")</f>
        <v>1.63306234992762</v>
      </c>
      <c r="U120" s="102" t="n">
        <f aca="false">IF(AND(ISNUMBER(V98),ISNUMBER(U98)),IF(V98&gt;0,U98/V98,0),"SLO 不可達")</f>
        <v>1.51957578561464</v>
      </c>
      <c r="W120" s="102" t="n">
        <f aca="false">IF(AND(ISNUMBER(X98),ISNUMBER(W98)),IF(X98&gt;0,W98/X98,0),"SLO 不可達")</f>
        <v>1.61436941414528</v>
      </c>
      <c r="Y120" s="102" t="n">
        <f aca="false">IF(AND(ISNUMBER(Z98),ISNUMBER(Y98)),IF(Z98&gt;0,Y98/Z98,0),"SLO 不可達")</f>
        <v>1.48800705453992</v>
      </c>
      <c r="AA120" s="102" t="n">
        <f aca="false">IF(AND(ISNUMBER(AB98),ISNUMBER(AA98)),IF(AB98&gt;0,AA98/AB98,0),"SLO 不可達")</f>
        <v>1.61650429205125</v>
      </c>
      <c r="AC120" s="102" t="n">
        <f aca="false">IF(AND(ISNUMBER(AD98),ISNUMBER(AC98)),IF(AD98&gt;0,AC98/AD98,0),"SLO 不可達")</f>
        <v>2.11138850524128</v>
      </c>
      <c r="AE120" s="102" t="n">
        <f aca="false">IF(AND(ISNUMBER(AF98),ISNUMBER(AE98)),IF(AF98&gt;0,AE98/AF98,0),"SLO 不可達")</f>
        <v>2.11138850524128</v>
      </c>
      <c r="AG120" s="102" t="n">
        <f aca="false">IF(AND(ISNUMBER(AH98),ISNUMBER(AG98)),IF(AH98&gt;0,AG98/AH98,0),"SLO 不可達")</f>
        <v>2.11138850524128</v>
      </c>
    </row>
    <row r="121" customFormat="false" ht="15" hidden="false" customHeight="false" outlineLevel="0" collapsed="false">
      <c r="A121" s="59" t="s">
        <v>835</v>
      </c>
      <c r="B121" s="59" t="s">
        <v>97</v>
      </c>
      <c r="C121" s="102" t="n">
        <f aca="false">IF(AND(ISNUMBER(D105),ISNUMBER(C105)),IF(AND(D105&gt;0,C105&gt;0),C105/D105,0),"SLO 不可達")</f>
        <v>0.687408933936638</v>
      </c>
      <c r="E121" s="102" t="n">
        <f aca="false">IF(AND(ISNUMBER(F105),ISNUMBER(E105)),IF(AND(F105&gt;0,E105&gt;0),E105/F105,0),"SLO 不可達")</f>
        <v>1.37481786787328</v>
      </c>
      <c r="G121" s="102" t="n">
        <f aca="false">IF(AND(ISNUMBER(H105),ISNUMBER(G105)),IF(AND(H105&gt;0,G105&gt;0),G105/H105,0),"SLO 不可達")</f>
        <v>0.458272622624425</v>
      </c>
      <c r="I121" s="102" t="n">
        <f aca="false">IF(AND(ISNUMBER(J105),ISNUMBER(I105)),IF(AND(J105&gt;0,I105&gt;0),I105/J105,0),"SLO 不可達")</f>
        <v>0.615451485740834</v>
      </c>
      <c r="K121" s="102" t="n">
        <f aca="false">IF(AND(ISNUMBER(L105),ISNUMBER(K105)),IF(AND(L105&gt;0,K105&gt;0),K105/L105,0),"SLO 不可達")</f>
        <v>0.853779455943954</v>
      </c>
      <c r="M121" s="102" t="n">
        <f aca="false">IF(AND(ISNUMBER(N105),ISNUMBER(M105)),IF(AND(N105&gt;0,M105&gt;0),M105/N105,0),"SLO 不可達")</f>
        <v>0.481186253755646</v>
      </c>
      <c r="O121" s="102" t="n">
        <f aca="false">IF(AND(ISNUMBER(P105),ISNUMBER(O105)),IF(AND(P105&gt;0,O105&gt;0),O105/P105,0),"SLO 不可達")</f>
        <v>0.742998292084719</v>
      </c>
      <c r="Q121" s="102" t="n">
        <f aca="false">IF(AND(ISNUMBER(R105),ISNUMBER(Q105)),IF(AND(R105&gt;0,Q105&gt;0),Q105/R105,0),"SLO 不可達")</f>
        <v>0.564091352560814</v>
      </c>
      <c r="S121" s="102" t="n">
        <f aca="false">IF(AND(ISNUMBER(T105),ISNUMBER(S105)),IF(AND(T105&gt;0,S105&gt;0),S105/T105,0),"SLO 不可達")</f>
        <v>0.657036634952532</v>
      </c>
      <c r="U121" s="102" t="n">
        <f aca="false">IF(AND(ISNUMBER(V105),ISNUMBER(U105)),IF(AND(V105&gt;0,U105&gt;0),U105/V105,0),"SLO 不可達")</f>
        <v>0.710126820823483</v>
      </c>
      <c r="W121" s="102" t="n">
        <f aca="false">IF(AND(ISNUMBER(X105),ISNUMBER(W105)),IF(AND(X105&gt;0,W105&gt;0),W105/X105,0),"SLO 不可達")</f>
        <v>0.687408933936638</v>
      </c>
      <c r="Y121" s="102" t="n">
        <f aca="false">IF(AND(ISNUMBER(Z105),ISNUMBER(Y105)),IF(AND(Z105&gt;0,Y105&gt;0),Y105/Z105,0),"SLO 不可達")</f>
        <v>0.687408933936637</v>
      </c>
      <c r="AA121" s="102" t="n">
        <f aca="false">IF(AND(ISNUMBER(AB105),ISNUMBER(AA105)),IF(AND(AB105&gt;0,AA105&gt;0),AA105/AB105,0),"SLO 不可達")</f>
        <v>0.664148306171864</v>
      </c>
      <c r="AC121" s="102" t="n">
        <f aca="false">IF(AND(ISNUMBER(AD105),ISNUMBER(AC105)),IF(AND(AD105&gt;0,AC105&gt;0),AC105/AD105,0),"SLO 不可達")</f>
        <v>0.488660822083892</v>
      </c>
      <c r="AE121" s="102" t="n">
        <f aca="false">IF(AND(ISNUMBER(AF105),ISNUMBER(AE105)),IF(AND(AF105&gt;0,AE105&gt;0),AE105/AF105,0),"SLO 不可達")</f>
        <v>0.488660822083892</v>
      </c>
      <c r="AG121" s="102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5" t="s">
        <v>836</v>
      </c>
    </row>
    <row r="2" customFormat="false" ht="15" hidden="false" customHeight="false" outlineLevel="0" collapsed="false">
      <c r="A2" s="71" t="s">
        <v>837</v>
      </c>
    </row>
    <row r="4" customFormat="false" ht="15" hidden="false" customHeight="false" outlineLevel="0" collapsed="false">
      <c r="A4" s="57" t="s">
        <v>165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57" t="s">
        <v>440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838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8" t="s">
        <v>839</v>
      </c>
      <c r="B8" s="59" t="s">
        <v>840</v>
      </c>
      <c r="C8" s="93" t="n">
        <f aca="false">DC_Cost!C58</f>
        <v>1.07964486018265</v>
      </c>
      <c r="D8" s="93" t="n">
        <f aca="false">DC_Cost!D58</f>
        <v>1.54259654785589</v>
      </c>
      <c r="E8" s="93" t="n">
        <f aca="false">DC_Cost!E58</f>
        <v>2.64920565047995</v>
      </c>
      <c r="F8" s="93" t="n">
        <f aca="false">DC_Cost!F58</f>
        <v>1.50422814430785</v>
      </c>
      <c r="G8" s="93" t="n">
        <f aca="false">DC_Cost!G58</f>
        <v>2.00846099652078</v>
      </c>
      <c r="H8" s="93" t="n">
        <f aca="false">DC_Cost!H58</f>
        <v>3.25756227849869</v>
      </c>
      <c r="I8" s="93" t="n">
        <f aca="false">DC_Cost!I58</f>
        <v>1.97574392204647</v>
      </c>
      <c r="J8" s="93" t="n">
        <f aca="false">DC_Cost!J58</f>
        <v>2.55178761329595</v>
      </c>
      <c r="K8" s="93" t="n">
        <f aca="false">DC_Cost!K58</f>
        <v>4.34454282544458</v>
      </c>
      <c r="L8" s="93" t="n">
        <f aca="false">DC_Cost!L58</f>
        <v>3.72193954123947</v>
      </c>
      <c r="M8" s="93" t="n">
        <f aca="false">DC_Cost!M58</f>
        <v>4.78365180724219</v>
      </c>
      <c r="N8" s="93" t="n">
        <f aca="false">DC_Cost!N58</f>
        <v>7.72813762813851</v>
      </c>
      <c r="O8" s="93" t="n">
        <f aca="false">DC_Cost!O58</f>
        <v>5.92143420546319</v>
      </c>
      <c r="P8" s="93" t="n">
        <f aca="false">DC_Cost!P58</f>
        <v>8.99976806898525</v>
      </c>
      <c r="Q8" s="93" t="n">
        <f aca="false">DC_Cost!Q58</f>
        <v>16.4294498807254</v>
      </c>
    </row>
    <row r="9" customFormat="false" ht="15" hidden="false" customHeight="false" outlineLevel="0" collapsed="false">
      <c r="A9" s="58" t="s">
        <v>841</v>
      </c>
      <c r="B9" s="59" t="s">
        <v>840</v>
      </c>
      <c r="C9" s="93" t="n">
        <f aca="false">DC_Cost!C57</f>
        <v>0.825106655914003</v>
      </c>
      <c r="D9" s="93" t="n">
        <f aca="false">DC_Cost!D57</f>
        <v>1.12941277108671</v>
      </c>
      <c r="E9" s="93" t="n">
        <f aca="false">DC_Cost!E57</f>
        <v>1.94067973561919</v>
      </c>
      <c r="F9" s="93" t="n">
        <f aca="false">DC_Cost!F57</f>
        <v>1.14879517483916</v>
      </c>
      <c r="G9" s="93" t="n">
        <f aca="false">DC_Cost!G57</f>
        <v>1.46722704621019</v>
      </c>
      <c r="H9" s="93" t="n">
        <f aca="false">DC_Cost!H57</f>
        <v>2.37052162109775</v>
      </c>
      <c r="I9" s="93" t="n">
        <f aca="false">DC_Cost!I57</f>
        <v>1.51742016309999</v>
      </c>
      <c r="J9" s="93" t="n">
        <f aca="false">DC_Cost!J57</f>
        <v>1.87284720011301</v>
      </c>
      <c r="K9" s="93" t="n">
        <f aca="false">DC_Cost!K57</f>
        <v>3.19559687047063</v>
      </c>
      <c r="L9" s="93" t="n">
        <f aca="false">DC_Cost!L57</f>
        <v>2.86519456922153</v>
      </c>
      <c r="M9" s="93" t="n">
        <f aca="false">DC_Cost!M57</f>
        <v>3.51855992240582</v>
      </c>
      <c r="N9" s="93" t="n">
        <f aca="false">DC_Cost!N57</f>
        <v>5.69705162434053</v>
      </c>
      <c r="O9" s="93" t="n">
        <f aca="false">DC_Cost!O57</f>
        <v>4.56320652720479</v>
      </c>
      <c r="P9" s="93" t="n">
        <f aca="false">DC_Cost!P57</f>
        <v>6.64357830075911</v>
      </c>
      <c r="Q9" s="93" t="n">
        <f aca="false">DC_Cost!Q57</f>
        <v>12.2328438708331</v>
      </c>
    </row>
    <row r="10" customFormat="false" ht="15" hidden="false" customHeight="false" outlineLevel="0" collapsed="false">
      <c r="A10" s="58" t="s">
        <v>842</v>
      </c>
      <c r="B10" s="59" t="s">
        <v>93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249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59" t="s">
        <v>843</v>
      </c>
      <c r="B13" s="59" t="s">
        <v>781</v>
      </c>
      <c r="C13" s="96" t="n">
        <f aca="false">INDEX(Perf!$C$101:$Q$101,3*(C$6-1)+1)</f>
        <v>128.951184274594</v>
      </c>
      <c r="D13" s="96" t="n">
        <f aca="false">INDEX(Perf!$C$101:$Q$101,3*(D$6-1)+1)</f>
        <v>128.951184274594</v>
      </c>
      <c r="E13" s="96" t="n">
        <f aca="false">INDEX(Perf!$C$101:$Q$101,3*(E$6-1)+1)</f>
        <v>128.951184274594</v>
      </c>
      <c r="F13" s="96" t="n">
        <f aca="false">INDEX(Perf!$C$101:$Q$101,3*(F$6-1)+1)</f>
        <v>12.7532721247573</v>
      </c>
      <c r="G13" s="96" t="n">
        <f aca="false">INDEX(Perf!$C$101:$Q$101,3*(G$6-1)+1)</f>
        <v>12.7532721247573</v>
      </c>
      <c r="H13" s="96" t="n">
        <f aca="false">INDEX(Perf!$C$101:$Q$101,3*(H$6-1)+1)</f>
        <v>12.7532721247573</v>
      </c>
      <c r="I13" s="96" t="n">
        <f aca="false">INDEX(Perf!$C$101:$Q$101,3*(I$6-1)+1)</f>
        <v>8.50218141650489</v>
      </c>
      <c r="J13" s="96" t="n">
        <f aca="false">INDEX(Perf!$C$101:$Q$101,3*(J$6-1)+1)</f>
        <v>8.50218141650489</v>
      </c>
      <c r="K13" s="96" t="n">
        <f aca="false">INDEX(Perf!$C$101:$Q$101,3*(K$6-1)+1)</f>
        <v>8.50218141650489</v>
      </c>
      <c r="L13" s="96" t="n">
        <f aca="false">INDEX(Perf!$C$101:$Q$101,3*(L$6-1)+1)</f>
        <v>3.64379203564495</v>
      </c>
      <c r="M13" s="96" t="n">
        <f aca="false">INDEX(Perf!$C$101:$Q$101,3*(M$6-1)+1)</f>
        <v>3.64379203564495</v>
      </c>
      <c r="N13" s="96" t="n">
        <f aca="false">INDEX(Perf!$C$101:$Q$101,3*(N$6-1)+1)</f>
        <v>3.64379203564495</v>
      </c>
      <c r="O13" s="96" t="n">
        <f aca="false">INDEX(Perf!$C$101:$Q$101,3*(O$6-1)+1)</f>
        <v>1.82189601782248</v>
      </c>
      <c r="P13" s="96" t="n">
        <f aca="false">INDEX(Perf!$C$101:$Q$101,3*(P$6-1)+1)</f>
        <v>1.82189601782248</v>
      </c>
      <c r="Q13" s="96" t="n">
        <f aca="false">INDEX(Perf!$C$101:$Q$101,3*(Q$6-1)+1)</f>
        <v>1.82189601782248</v>
      </c>
    </row>
    <row r="14" customFormat="false" ht="15" hidden="false" customHeight="false" outlineLevel="0" collapsed="false">
      <c r="A14" s="59" t="s">
        <v>844</v>
      </c>
      <c r="B14" s="59" t="s">
        <v>781</v>
      </c>
      <c r="C14" s="92" t="n">
        <f aca="false">INDEX(Perf!$C$102:$Q$102,3*(C$6-1)+1)</f>
        <v>0.02795</v>
      </c>
      <c r="D14" s="92" t="n">
        <f aca="false">INDEX(Perf!$C$102:$Q$102,3*(D$6-1)+1)</f>
        <v>0.02795</v>
      </c>
      <c r="E14" s="92" t="n">
        <f aca="false">INDEX(Perf!$C$102:$Q$102,3*(E$6-1)+1)</f>
        <v>0.02795</v>
      </c>
      <c r="F14" s="92" t="n">
        <f aca="false">INDEX(Perf!$C$102:$Q$102,3*(F$6-1)+1)</f>
        <v>0.02795</v>
      </c>
      <c r="G14" s="92" t="n">
        <f aca="false">INDEX(Perf!$C$102:$Q$102,3*(G$6-1)+1)</f>
        <v>0.02795</v>
      </c>
      <c r="H14" s="92" t="n">
        <f aca="false">INDEX(Perf!$C$102:$Q$102,3*(H$6-1)+1)</f>
        <v>0.02795</v>
      </c>
      <c r="I14" s="92" t="n">
        <f aca="false">INDEX(Perf!$C$102:$Q$102,3*(I$6-1)+1)</f>
        <v>0.02795</v>
      </c>
      <c r="J14" s="92" t="n">
        <f aca="false">INDEX(Perf!$C$102:$Q$102,3*(J$6-1)+1)</f>
        <v>0.02795</v>
      </c>
      <c r="K14" s="92" t="n">
        <f aca="false">INDEX(Perf!$C$102:$Q$102,3*(K$6-1)+1)</f>
        <v>0.02795</v>
      </c>
      <c r="L14" s="92" t="n">
        <f aca="false">INDEX(Perf!$C$102:$Q$102,3*(L$6-1)+1)</f>
        <v>0.02795</v>
      </c>
      <c r="M14" s="92" t="n">
        <f aca="false">INDEX(Perf!$C$102:$Q$102,3*(M$6-1)+1)</f>
        <v>0.02795</v>
      </c>
      <c r="N14" s="92" t="n">
        <f aca="false">INDEX(Perf!$C$102:$Q$102,3*(N$6-1)+1)</f>
        <v>0.02795</v>
      </c>
      <c r="O14" s="92" t="n">
        <f aca="false">INDEX(Perf!$C$102:$Q$102,3*(O$6-1)+1)</f>
        <v>0.02795</v>
      </c>
      <c r="P14" s="92" t="n">
        <f aca="false">INDEX(Perf!$C$102:$Q$102,3*(P$6-1)+1)</f>
        <v>0.02795</v>
      </c>
      <c r="Q14" s="92" t="n">
        <f aca="false">INDEX(Perf!$C$102:$Q$102,3*(Q$6-1)+1)</f>
        <v>0.02795</v>
      </c>
    </row>
    <row r="15" customFormat="false" ht="15" hidden="false" customHeight="false" outlineLevel="0" collapsed="false">
      <c r="A15" s="59" t="s">
        <v>845</v>
      </c>
      <c r="B15" s="59" t="s">
        <v>781</v>
      </c>
      <c r="C15" s="96" t="n">
        <f aca="false">INDEX(Perf!$C$103:$Q$103,3*(C$6-1)+1)</f>
        <v>1719.93391321739</v>
      </c>
      <c r="D15" s="96" t="n">
        <f aca="false">INDEX(Perf!$C$103:$Q$103,3*(D$6-1)+1)</f>
        <v>1719.93391321739</v>
      </c>
      <c r="E15" s="96" t="n">
        <f aca="false">INDEX(Perf!$C$103:$Q$103,3*(E$6-1)+1)</f>
        <v>1719.93391321739</v>
      </c>
      <c r="F15" s="96" t="n">
        <f aca="false">INDEX(Perf!$C$103:$Q$103,3*(F$6-1)+1)</f>
        <v>291.04887389608</v>
      </c>
      <c r="G15" s="96" t="n">
        <f aca="false">INDEX(Perf!$C$103:$Q$103,3*(G$6-1)+1)</f>
        <v>291.04887389608</v>
      </c>
      <c r="H15" s="96" t="n">
        <f aca="false">INDEX(Perf!$C$103:$Q$103,3*(H$6-1)+1)</f>
        <v>291.04887389608</v>
      </c>
      <c r="I15" s="96" t="n">
        <f aca="false">INDEX(Perf!$C$103:$Q$103,3*(I$6-1)+1)</f>
        <v>194.032582597387</v>
      </c>
      <c r="J15" s="96" t="n">
        <f aca="false">INDEX(Perf!$C$103:$Q$103,3*(J$6-1)+1)</f>
        <v>194.032582597387</v>
      </c>
      <c r="K15" s="96" t="n">
        <f aca="false">INDEX(Perf!$C$103:$Q$103,3*(K$6-1)+1)</f>
        <v>194.032582597387</v>
      </c>
      <c r="L15" s="96" t="n">
        <f aca="false">INDEX(Perf!$C$103:$Q$103,3*(L$6-1)+1)</f>
        <v>78.000625684729</v>
      </c>
      <c r="M15" s="96" t="n">
        <f aca="false">INDEX(Perf!$C$103:$Q$103,3*(M$6-1)+1)</f>
        <v>78.000625684729</v>
      </c>
      <c r="N15" s="96" t="n">
        <f aca="false">INDEX(Perf!$C$103:$Q$103,3*(N$6-1)+1)</f>
        <v>78.000625684729</v>
      </c>
      <c r="O15" s="96" t="n">
        <f aca="false">INDEX(Perf!$C$103:$Q$103,3*(O$6-1)+1)</f>
        <v>38.3537418336927</v>
      </c>
      <c r="P15" s="96" t="n">
        <f aca="false">INDEX(Perf!$C$103:$Q$103,3*(P$6-1)+1)</f>
        <v>38.3537418336927</v>
      </c>
      <c r="Q15" s="96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846</v>
      </c>
      <c r="B16" s="59" t="s">
        <v>795</v>
      </c>
      <c r="C16" s="123" t="n">
        <f aca="false">C$8/3600*C13</f>
        <v>0.0386726342545921</v>
      </c>
      <c r="D16" s="123" t="n">
        <f aca="false">D$8/3600*D13</f>
        <v>0.0552554588066438</v>
      </c>
      <c r="E16" s="123" t="n">
        <f aca="false">E$8/3600*E13</f>
        <v>0.0948939461156487</v>
      </c>
      <c r="F16" s="123" t="n">
        <f aca="false">F$8/3600*F13</f>
        <v>0.00532884190613242</v>
      </c>
      <c r="G16" s="123" t="n">
        <f aca="false">G$8/3600*G13</f>
        <v>0.00711512490016412</v>
      </c>
      <c r="H16" s="123" t="n">
        <f aca="false">H$8/3600*H13</f>
        <v>0.0115401606113995</v>
      </c>
      <c r="I16" s="123" t="n">
        <f aca="false">I$8/3600*I13</f>
        <v>0.00466614812716556</v>
      </c>
      <c r="J16" s="123" t="n">
        <f aca="false">J$8/3600*J13</f>
        <v>0.00602660034017561</v>
      </c>
      <c r="K16" s="123" t="n">
        <f aca="false">K$8/3600*K13</f>
        <v>0.0102605809093624</v>
      </c>
      <c r="L16" s="123" t="n">
        <f aca="false">L$8/3600*L13</f>
        <v>0.00376721490486678</v>
      </c>
      <c r="M16" s="123" t="n">
        <f aca="false">M$8/3600*M13</f>
        <v>0.00484184232125769</v>
      </c>
      <c r="N16" s="123" t="n">
        <f aca="false">N$8/3600*N13</f>
        <v>0.00782214620549421</v>
      </c>
      <c r="O16" s="123" t="n">
        <f aca="false">O$8/3600*O13</f>
        <v>0.00299673261075866</v>
      </c>
      <c r="P16" s="123" t="n">
        <f aca="false">P$8/3600*P13</f>
        <v>0.0045546226683917</v>
      </c>
      <c r="Q16" s="123" t="n">
        <f aca="false">Q$8/3600*Q13</f>
        <v>0.00831465258686319</v>
      </c>
    </row>
    <row r="17" customFormat="false" ht="15" hidden="false" customHeight="false" outlineLevel="0" collapsed="false">
      <c r="A17" s="58" t="s">
        <v>847</v>
      </c>
      <c r="B17" s="59" t="s">
        <v>795</v>
      </c>
      <c r="C17" s="124" t="n">
        <f aca="false">C$8/3600*C14</f>
        <v>8.3822427339181E-006</v>
      </c>
      <c r="D17" s="124" t="n">
        <f aca="false">D$8/3600*D14</f>
        <v>1.19765481979367E-005</v>
      </c>
      <c r="E17" s="124" t="n">
        <f aca="false">E$8/3600*E14</f>
        <v>2.05681383141429E-005</v>
      </c>
      <c r="F17" s="124" t="n">
        <f aca="false">F$8/3600*F14</f>
        <v>1.16786601759456E-005</v>
      </c>
      <c r="G17" s="124" t="n">
        <f aca="false">G$8/3600*G14</f>
        <v>1.55934680146544E-005</v>
      </c>
      <c r="H17" s="124" t="n">
        <f aca="false">H$8/3600*H14</f>
        <v>2.52913515788996E-005</v>
      </c>
      <c r="I17" s="124" t="n">
        <f aca="false">I$8/3600*I14</f>
        <v>1.53394562836664E-005</v>
      </c>
      <c r="J17" s="124" t="n">
        <f aca="false">J$8/3600*J14</f>
        <v>1.98117954976727E-005</v>
      </c>
      <c r="K17" s="124" t="n">
        <f aca="false">K$8/3600*K14</f>
        <v>3.37305477697711E-005</v>
      </c>
      <c r="L17" s="124" t="n">
        <f aca="false">L$8/3600*L14</f>
        <v>2.88967250493453E-005</v>
      </c>
      <c r="M17" s="124" t="n">
        <f aca="false">M$8/3600*M14</f>
        <v>3.71397411145609E-005</v>
      </c>
      <c r="N17" s="124" t="n">
        <f aca="false">N$8/3600*N14</f>
        <v>6.00004018629087E-005</v>
      </c>
      <c r="O17" s="124" t="n">
        <f aca="false">O$8/3600*O14</f>
        <v>4.59733572340822E-005</v>
      </c>
      <c r="P17" s="124" t="n">
        <f aca="false">P$8/3600*P14</f>
        <v>6.98731993133716E-005</v>
      </c>
      <c r="Q17" s="124" t="n">
        <f aca="false">Q$8/3600*Q14</f>
        <v>0.000127556423379521</v>
      </c>
    </row>
    <row r="18" customFormat="false" ht="15" hidden="false" customHeight="false" outlineLevel="0" collapsed="false">
      <c r="A18" s="59" t="s">
        <v>848</v>
      </c>
      <c r="B18" s="59" t="s">
        <v>795</v>
      </c>
      <c r="C18" s="123" t="n">
        <f aca="false">IF(ISNUMBER(C15),C$8/3600*C15,"SLO 不可達")</f>
        <v>0.515810502571941</v>
      </c>
      <c r="D18" s="123" t="n">
        <f aca="false">IF(ISNUMBER(D15),D$8/3600*D15,"SLO 不可達")</f>
        <v>0.736990032519282</v>
      </c>
      <c r="E18" s="123" t="n">
        <f aca="false">IF(ISNUMBER(E15),E$8/3600*E15,"SLO 不可達")</f>
        <v>1.26568295592989</v>
      </c>
      <c r="F18" s="123" t="n">
        <f aca="false">IF(ISNUMBER(F15),F$8/3600*F15,"SLO 不可達")</f>
        <v>0.121612196523219</v>
      </c>
      <c r="G18" s="123" t="n">
        <f aca="false">IF(ISNUMBER(G15),G$8/3600*G15,"SLO 不可達")</f>
        <v>0.162377864250437</v>
      </c>
      <c r="H18" s="123" t="n">
        <f aca="false">IF(ISNUMBER(H15),H$8/3600*H15,"SLO 不可達")</f>
        <v>0.263363842445387</v>
      </c>
      <c r="I18" s="123" t="n">
        <f aca="false">IF(ISNUMBER(I15),I$8/3600*I15,"SLO 不可達")</f>
        <v>0.106488526596046</v>
      </c>
      <c r="J18" s="123" t="n">
        <f aca="false">IF(ISNUMBER(J15),J$8/3600*J15,"SLO 不可達")</f>
        <v>0.137536094679954</v>
      </c>
      <c r="K18" s="123" t="n">
        <f aca="false">IF(ISNUMBER(K15),K$8/3600*K15,"SLO 不可達")</f>
        <v>0.234161906840545</v>
      </c>
      <c r="L18" s="123" t="n">
        <f aca="false">IF(ISNUMBER(L15),L$8/3600*L15,"SLO 不可達")</f>
        <v>0.0806426702715034</v>
      </c>
      <c r="M18" s="123" t="n">
        <f aca="false">IF(ISNUMBER(M15),M$8/3600*M15,"SLO 不可達")</f>
        <v>0.103646620561882</v>
      </c>
      <c r="N18" s="123" t="n">
        <f aca="false">IF(ISNUMBER(N15),N$8/3600*N15,"SLO 不可達")</f>
        <v>0.167444325103472</v>
      </c>
      <c r="O18" s="123" t="n">
        <f aca="false">IF(ISNUMBER(O15),O$8/3600*O15,"SLO 不可達")</f>
        <v>0.0630858774448701</v>
      </c>
      <c r="P18" s="123" t="n">
        <f aca="false">IF(ISNUMBER(P15),P$8/3600*P15,"SLO 不可達")</f>
        <v>0.0958818836336032</v>
      </c>
      <c r="Q18" s="123" t="n">
        <f aca="false">IF(ISNUMBER(Q15),Q$8/3600*Q15,"SLO 不可達")</f>
        <v>0.175036355331926</v>
      </c>
    </row>
    <row r="19" customFormat="false" ht="15" hidden="false" customHeight="false" outlineLevel="0" collapsed="false">
      <c r="A19" s="58" t="s">
        <v>849</v>
      </c>
      <c r="B19" s="59" t="s">
        <v>795</v>
      </c>
      <c r="C19" s="113" t="n">
        <f aca="false">C16/C$10</f>
        <v>0.0644543904243201</v>
      </c>
      <c r="D19" s="113" t="n">
        <f aca="false">D16/D$10</f>
        <v>0.0920924313444063</v>
      </c>
      <c r="E19" s="113" t="n">
        <f aca="false">E16/E$10</f>
        <v>0.158156576859415</v>
      </c>
      <c r="F19" s="113" t="n">
        <f aca="false">F16/F$10</f>
        <v>0.00888140317688737</v>
      </c>
      <c r="G19" s="113" t="n">
        <f aca="false">G16/G$10</f>
        <v>0.0118585415002735</v>
      </c>
      <c r="H19" s="113" t="n">
        <f aca="false">H16/H$10</f>
        <v>0.0192336010189992</v>
      </c>
      <c r="I19" s="113" t="n">
        <f aca="false">I16/I$10</f>
        <v>0.00777691354527593</v>
      </c>
      <c r="J19" s="113" t="n">
        <f aca="false">J16/J$10</f>
        <v>0.0100443339002927</v>
      </c>
      <c r="K19" s="113" t="n">
        <f aca="false">K16/K$10</f>
        <v>0.0171009681822706</v>
      </c>
      <c r="L19" s="113" t="n">
        <f aca="false">L16/L$10</f>
        <v>0.0062786915081113</v>
      </c>
      <c r="M19" s="113" t="n">
        <f aca="false">M16/M$10</f>
        <v>0.00806973720209615</v>
      </c>
      <c r="N19" s="113" t="n">
        <f aca="false">N16/N$10</f>
        <v>0.0130369103424904</v>
      </c>
      <c r="O19" s="113" t="n">
        <f aca="false">O16/O$10</f>
        <v>0.00499455435126443</v>
      </c>
      <c r="P19" s="113" t="n">
        <f aca="false">P16/P$10</f>
        <v>0.00759103778065283</v>
      </c>
      <c r="Q19" s="113" t="n">
        <f aca="false">Q16/Q$10</f>
        <v>0.0138577543114387</v>
      </c>
    </row>
    <row r="20" customFormat="false" ht="15" hidden="false" customHeight="false" outlineLevel="0" collapsed="false">
      <c r="A20" s="58" t="s">
        <v>850</v>
      </c>
      <c r="B20" s="59" t="s">
        <v>795</v>
      </c>
      <c r="C20" s="124" t="n">
        <f aca="false">C17/C$10</f>
        <v>1.39704045565302E-005</v>
      </c>
      <c r="D20" s="124" t="n">
        <f aca="false">D17/D$10</f>
        <v>1.99609136632279E-005</v>
      </c>
      <c r="E20" s="124" t="n">
        <f aca="false">E17/E$10</f>
        <v>3.42802305235716E-005</v>
      </c>
      <c r="F20" s="124" t="n">
        <f aca="false">F17/F$10</f>
        <v>1.94644336265761E-005</v>
      </c>
      <c r="G20" s="124" t="n">
        <f aca="false">G17/G$10</f>
        <v>2.59891133577573E-005</v>
      </c>
      <c r="H20" s="124" t="n">
        <f aca="false">H17/H$10</f>
        <v>4.21522526314993E-005</v>
      </c>
      <c r="I20" s="124" t="n">
        <f aca="false">I17/I$10</f>
        <v>2.55657604727773E-005</v>
      </c>
      <c r="J20" s="124" t="n">
        <f aca="false">J17/J$10</f>
        <v>3.30196591627879E-005</v>
      </c>
      <c r="K20" s="124" t="n">
        <f aca="false">K17/K$10</f>
        <v>5.62175796162852E-005</v>
      </c>
      <c r="L20" s="124" t="n">
        <f aca="false">L17/L$10</f>
        <v>4.81612084155756E-005</v>
      </c>
      <c r="M20" s="124" t="n">
        <f aca="false">M17/M$10</f>
        <v>6.18995685242682E-005</v>
      </c>
      <c r="N20" s="124" t="n">
        <f aca="false">N17/N$10</f>
        <v>0.000100000669771514</v>
      </c>
      <c r="O20" s="124" t="n">
        <f aca="false">O17/O$10</f>
        <v>7.66222620568037E-005</v>
      </c>
      <c r="P20" s="124" t="n">
        <f aca="false">P17/P$10</f>
        <v>0.000116455332188953</v>
      </c>
      <c r="Q20" s="124" t="n">
        <f aca="false">Q17/Q$10</f>
        <v>0.000212594038965868</v>
      </c>
    </row>
    <row r="21" customFormat="false" ht="15" hidden="false" customHeight="false" outlineLevel="0" collapsed="false">
      <c r="A21" s="59" t="s">
        <v>851</v>
      </c>
      <c r="B21" s="59" t="s">
        <v>795</v>
      </c>
      <c r="C21" s="123" t="n">
        <f aca="false">IF(ISNUMBER(C18),C18/C$10,C18)</f>
        <v>0.859684170953235</v>
      </c>
      <c r="D21" s="123" t="n">
        <f aca="false">IF(ISNUMBER(D18),D18/D$10,D18)</f>
        <v>1.22831672086547</v>
      </c>
      <c r="E21" s="123" t="n">
        <f aca="false">IF(ISNUMBER(E18),E18/E$10,E18)</f>
        <v>2.10947159321648</v>
      </c>
      <c r="F21" s="123" t="n">
        <f aca="false">IF(ISNUMBER(F18),F18/F$10,F18)</f>
        <v>0.202686994205366</v>
      </c>
      <c r="G21" s="123" t="n">
        <f aca="false">IF(ISNUMBER(G18),G18/G$10,G18)</f>
        <v>0.270629773750728</v>
      </c>
      <c r="H21" s="123" t="n">
        <f aca="false">IF(ISNUMBER(H18),H18/H$10,H18)</f>
        <v>0.438939737408979</v>
      </c>
      <c r="I21" s="123" t="n">
        <f aca="false">IF(ISNUMBER(I18),I18/I$10,I18)</f>
        <v>0.177480877660078</v>
      </c>
      <c r="J21" s="123" t="n">
        <f aca="false">IF(ISNUMBER(J18),J18/J$10,J18)</f>
        <v>0.22922682446659</v>
      </c>
      <c r="K21" s="123" t="n">
        <f aca="false">IF(ISNUMBER(K18),K18/K$10,K18)</f>
        <v>0.390269844734241</v>
      </c>
      <c r="L21" s="123" t="n">
        <f aca="false">IF(ISNUMBER(L18),L18/L$10,L18)</f>
        <v>0.134404450452506</v>
      </c>
      <c r="M21" s="123" t="n">
        <f aca="false">IF(ISNUMBER(M18),M18/M$10,M18)</f>
        <v>0.172744367603137</v>
      </c>
      <c r="N21" s="123" t="n">
        <f aca="false">IF(ISNUMBER(N18),N18/N$10,N18)</f>
        <v>0.279073875172454</v>
      </c>
      <c r="O21" s="123" t="n">
        <f aca="false">IF(ISNUMBER(O18),O18/O$10,O18)</f>
        <v>0.105143129074784</v>
      </c>
      <c r="P21" s="123" t="n">
        <f aca="false">IF(ISNUMBER(P18),P18/P$10,P18)</f>
        <v>0.159803139389339</v>
      </c>
      <c r="Q21" s="123" t="n">
        <f aca="false">IF(ISNUMBER(Q18),Q18/Q$10,Q18)</f>
        <v>0.291727258886544</v>
      </c>
    </row>
    <row r="22" customFormat="false" ht="15" hidden="false" customHeight="false" outlineLevel="0" collapsed="false">
      <c r="A22" s="59" t="s">
        <v>852</v>
      </c>
      <c r="B22" s="59" t="s">
        <v>795</v>
      </c>
      <c r="C22" s="113" t="n">
        <f aca="false">IF(ISNUMBER(C15),C$9/3600*C15,"SLO 不可達")</f>
        <v>0.394202477646634</v>
      </c>
      <c r="D22" s="113" t="n">
        <f aca="false">IF(ISNUMBER(D15),D$9/3600*D15,"SLO 不可達")</f>
        <v>0.539587590836907</v>
      </c>
      <c r="E22" s="113" t="n">
        <f aca="false">IF(ISNUMBER(E15),E$9/3600*E15,"SLO 不可達")</f>
        <v>0.927178025551443</v>
      </c>
      <c r="F22" s="113" t="n">
        <f aca="false">IF(ISNUMBER(F15),F$9/3600*F15,"SLO 不可達")</f>
        <v>0.0928765394372742</v>
      </c>
      <c r="G22" s="113" t="n">
        <f aca="false">IF(ISNUMBER(G15),G$9/3600*G15,"SLO 不可達")</f>
        <v>0.118620772097041</v>
      </c>
      <c r="H22" s="113" t="n">
        <f aca="false">IF(ISNUMBER(H15),H$9/3600*H15,"SLO 不可達")</f>
        <v>0.191649346768559</v>
      </c>
      <c r="I22" s="113" t="n">
        <f aca="false">IF(ISNUMBER(I15),I$9/3600*I15,"SLO 不可達")</f>
        <v>0.0817858203143441</v>
      </c>
      <c r="J22" s="113" t="n">
        <f aca="false">IF(ISNUMBER(J15),J$9/3600*J15,"SLO 不可達")</f>
        <v>0.10094260529117</v>
      </c>
      <c r="K22" s="113" t="n">
        <f aca="false">IF(ISNUMBER(K15),K$9/3600*K15,"SLO 不可達")</f>
        <v>0.172236087143762</v>
      </c>
      <c r="L22" s="113" t="n">
        <f aca="false">IF(ISNUMBER(L15),L$9/3600*L15,"SLO 不可達")</f>
        <v>0.0620797136410463</v>
      </c>
      <c r="M22" s="113" t="n">
        <f aca="false">IF(ISNUMBER(M15),M$9/3600*M15,"SLO 不可達")</f>
        <v>0.0762360765157959</v>
      </c>
      <c r="N22" s="113" t="n">
        <f aca="false">IF(ISNUMBER(N15),N$9/3600*N15,"SLO 不可達")</f>
        <v>0.123437108682434</v>
      </c>
      <c r="O22" s="113" t="n">
        <f aca="false">IF(ISNUMBER(O15),O$9/3600*O15,"SLO 不可達")</f>
        <v>0.0486155680772872</v>
      </c>
      <c r="P22" s="113" t="n">
        <f aca="false">IF(ISNUMBER(P15),P$9/3600*P15,"SLO 不可達")</f>
        <v>0.0707794686108994</v>
      </c>
      <c r="Q22" s="113" t="n">
        <f aca="false">IF(ISNUMBER(Q15),Q$9/3600*Q15,"SLO 不可達")</f>
        <v>0.130326482142723</v>
      </c>
    </row>
    <row r="23" customFormat="false" ht="15" hidden="false" customHeight="false" outlineLevel="0" collapsed="false">
      <c r="A23" s="58" t="s">
        <v>853</v>
      </c>
      <c r="B23" s="59" t="s">
        <v>795</v>
      </c>
      <c r="C23" s="92" t="n">
        <f aca="false">IF(ISNUMBER(C18),(Serving!$C$23*C16+Serving!$C$24*C18)/(Serving!$C$23+Serving!$C$24),C18)</f>
        <v>0.0916879529565197</v>
      </c>
      <c r="D23" s="92" t="n">
        <f aca="false">IF(ISNUMBER(D18),(Serving!$C$23*D16+Serving!$C$24*D18)/(Serving!$C$23+Serving!$C$24),D18)</f>
        <v>0.131003744774715</v>
      </c>
      <c r="E23" s="92" t="n">
        <f aca="false">IF(ISNUMBER(E18),(Serving!$C$23*E16+Serving!$C$24*E18)/(Serving!$C$23+Serving!$C$24),E18)</f>
        <v>0.224981613872786</v>
      </c>
      <c r="F23" s="92" t="n">
        <f aca="false">IF(ISNUMBER(F18),(Serving!$C$23*F16+Serving!$C$24*F18)/(Serving!$C$23+Serving!$C$24),F18)</f>
        <v>0.0182492146413643</v>
      </c>
      <c r="G23" s="92" t="n">
        <f aca="false">IF(ISNUMBER(G18),(Serving!$C$23*G16+Serving!$C$24*G18)/(Serving!$C$23+Serving!$C$24),G18)</f>
        <v>0.0243665403835278</v>
      </c>
      <c r="H23" s="92" t="n">
        <f aca="false">IF(ISNUMBER(H18),(Serving!$C$23*H16+Serving!$C$24*H18)/(Serving!$C$23+Serving!$C$24),H18)</f>
        <v>0.0395205697040648</v>
      </c>
      <c r="I23" s="92" t="n">
        <f aca="false">IF(ISNUMBER(I18),(Serving!$C$23*I16+Serving!$C$24*I18)/(Serving!$C$23+Serving!$C$24),I18)</f>
        <v>0.015979745734819</v>
      </c>
      <c r="J23" s="92" t="n">
        <f aca="false">IF(ISNUMBER(J18),(Serving!$C$23*J16+Serving!$C$24*J18)/(Serving!$C$23+Serving!$C$24),J18)</f>
        <v>0.0206387663779288</v>
      </c>
      <c r="K23" s="92" t="n">
        <f aca="false">IF(ISNUMBER(K18),(Serving!$C$23*K16+Serving!$C$24*K18)/(Serving!$C$23+Serving!$C$24),K18)</f>
        <v>0.0351385060128271</v>
      </c>
      <c r="L23" s="92" t="n">
        <f aca="false">IF(ISNUMBER(L18),(Serving!$C$23*L16+Serving!$C$24*L18)/(Serving!$C$23+Serving!$C$24),L18)</f>
        <v>0.0123089321678264</v>
      </c>
      <c r="M23" s="92" t="n">
        <f aca="false">IF(ISNUMBER(M18),(Serving!$C$23*M16+Serving!$C$24*M18)/(Serving!$C$23+Serving!$C$24),M18)</f>
        <v>0.0158201510146604</v>
      </c>
      <c r="N23" s="92" t="n">
        <f aca="false">IF(ISNUMBER(N18),(Serving!$C$23*N16+Serving!$C$24*N18)/(Serving!$C$23+Serving!$C$24),N18)</f>
        <v>0.0255579438608251</v>
      </c>
      <c r="O23" s="92" t="n">
        <f aca="false">IF(ISNUMBER(O18),(Serving!$C$23*O16+Serving!$C$24*O18)/(Serving!$C$23+Serving!$C$24),O18)</f>
        <v>0.00967330425899327</v>
      </c>
      <c r="P23" s="92" t="n">
        <f aca="false">IF(ISNUMBER(P18),(Serving!$C$23*P16+Serving!$C$24*P18)/(Serving!$C$23+Serving!$C$24),P18)</f>
        <v>0.0147020961089708</v>
      </c>
      <c r="Q23" s="92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250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59" t="s">
        <v>843</v>
      </c>
      <c r="B26" s="59" t="s">
        <v>781</v>
      </c>
      <c r="C26" s="96" t="n">
        <f aca="false">INDEX(Perf!$C$101:$Q$101,3*(C$6-1)+2)</f>
        <v>447.562697483303</v>
      </c>
      <c r="D26" s="96" t="n">
        <f aca="false">INDEX(Perf!$C$101:$Q$101,3*(D$6-1)+2)</f>
        <v>447.562697483303</v>
      </c>
      <c r="E26" s="96" t="n">
        <f aca="false">INDEX(Perf!$C$101:$Q$101,3*(E$6-1)+2)</f>
        <v>447.562697483303</v>
      </c>
      <c r="F26" s="96" t="n">
        <f aca="false">INDEX(Perf!$C$101:$Q$101,3*(F$6-1)+2)</f>
        <v>44.2639507810987</v>
      </c>
      <c r="G26" s="96" t="n">
        <f aca="false">INDEX(Perf!$C$101:$Q$101,3*(G$6-1)+2)</f>
        <v>44.2639507810987</v>
      </c>
      <c r="H26" s="96" t="n">
        <f aca="false">INDEX(Perf!$C$101:$Q$101,3*(H$6-1)+2)</f>
        <v>44.2639507810987</v>
      </c>
      <c r="I26" s="96" t="n">
        <f aca="false">INDEX(Perf!$C$101:$Q$101,3*(I$6-1)+2)</f>
        <v>29.5093005207324</v>
      </c>
      <c r="J26" s="96" t="n">
        <f aca="false">INDEX(Perf!$C$101:$Q$101,3*(J$6-1)+2)</f>
        <v>29.5093005207324</v>
      </c>
      <c r="K26" s="96" t="n">
        <f aca="false">INDEX(Perf!$C$101:$Q$101,3*(K$6-1)+2)</f>
        <v>29.5093005207324</v>
      </c>
      <c r="L26" s="96" t="n">
        <f aca="false">INDEX(Perf!$C$101:$Q$101,3*(L$6-1)+2)</f>
        <v>12.6468430803139</v>
      </c>
      <c r="M26" s="96" t="n">
        <f aca="false">INDEX(Perf!$C$101:$Q$101,3*(M$6-1)+2)</f>
        <v>12.6468430803139</v>
      </c>
      <c r="N26" s="96" t="n">
        <f aca="false">INDEX(Perf!$C$101:$Q$101,3*(N$6-1)+2)</f>
        <v>12.6468430803139</v>
      </c>
      <c r="O26" s="96" t="n">
        <f aca="false">INDEX(Perf!$C$101:$Q$101,3*(O$6-1)+2)</f>
        <v>6.32342154015695</v>
      </c>
      <c r="P26" s="96" t="n">
        <f aca="false">INDEX(Perf!$C$101:$Q$101,3*(P$6-1)+2)</f>
        <v>6.32342154015695</v>
      </c>
      <c r="Q26" s="96" t="n">
        <f aca="false">INDEX(Perf!$C$101:$Q$101,3*(Q$6-1)+2)</f>
        <v>6.32342154015695</v>
      </c>
    </row>
    <row r="27" customFormat="false" ht="15" hidden="false" customHeight="false" outlineLevel="0" collapsed="false">
      <c r="A27" s="59" t="s">
        <v>844</v>
      </c>
      <c r="B27" s="59" t="s">
        <v>781</v>
      </c>
      <c r="C27" s="92" t="n">
        <f aca="false">INDEX(Perf!$C$102:$Q$102,3*(C$6-1)+2)</f>
        <v>0.03965</v>
      </c>
      <c r="D27" s="92" t="n">
        <f aca="false">INDEX(Perf!$C$102:$Q$102,3*(D$6-1)+2)</f>
        <v>0.03965</v>
      </c>
      <c r="E27" s="92" t="n">
        <f aca="false">INDEX(Perf!$C$102:$Q$102,3*(E$6-1)+2)</f>
        <v>0.03965</v>
      </c>
      <c r="F27" s="92" t="n">
        <f aca="false">INDEX(Perf!$C$102:$Q$102,3*(F$6-1)+2)</f>
        <v>0.03965</v>
      </c>
      <c r="G27" s="92" t="n">
        <f aca="false">INDEX(Perf!$C$102:$Q$102,3*(G$6-1)+2)</f>
        <v>0.03965</v>
      </c>
      <c r="H27" s="92" t="n">
        <f aca="false">INDEX(Perf!$C$102:$Q$102,3*(H$6-1)+2)</f>
        <v>0.03965</v>
      </c>
      <c r="I27" s="92" t="n">
        <f aca="false">INDEX(Perf!$C$102:$Q$102,3*(I$6-1)+2)</f>
        <v>0.03965</v>
      </c>
      <c r="J27" s="92" t="n">
        <f aca="false">INDEX(Perf!$C$102:$Q$102,3*(J$6-1)+2)</f>
        <v>0.03965</v>
      </c>
      <c r="K27" s="92" t="n">
        <f aca="false">INDEX(Perf!$C$102:$Q$102,3*(K$6-1)+2)</f>
        <v>0.03965</v>
      </c>
      <c r="L27" s="92" t="n">
        <f aca="false">INDEX(Perf!$C$102:$Q$102,3*(L$6-1)+2)</f>
        <v>0.03965</v>
      </c>
      <c r="M27" s="92" t="n">
        <f aca="false">INDEX(Perf!$C$102:$Q$102,3*(M$6-1)+2)</f>
        <v>0.03965</v>
      </c>
      <c r="N27" s="92" t="n">
        <f aca="false">INDEX(Perf!$C$102:$Q$102,3*(N$6-1)+2)</f>
        <v>0.03965</v>
      </c>
      <c r="O27" s="92" t="n">
        <f aca="false">INDEX(Perf!$C$102:$Q$102,3*(O$6-1)+2)</f>
        <v>0.03965</v>
      </c>
      <c r="P27" s="92" t="n">
        <f aca="false">INDEX(Perf!$C$102:$Q$102,3*(P$6-1)+2)</f>
        <v>0.03965</v>
      </c>
      <c r="Q27" s="92" t="n">
        <f aca="false">INDEX(Perf!$C$102:$Q$102,3*(Q$6-1)+2)</f>
        <v>0.03965</v>
      </c>
    </row>
    <row r="28" customFormat="false" ht="15" hidden="false" customHeight="false" outlineLevel="0" collapsed="false">
      <c r="A28" s="59" t="s">
        <v>845</v>
      </c>
      <c r="B28" s="59" t="s">
        <v>781</v>
      </c>
      <c r="C28" s="96" t="n">
        <f aca="false">INDEX(Perf!$C$103:$Q$103,3*(C$6-1)+2)</f>
        <v>5902.75485265774</v>
      </c>
      <c r="D28" s="96" t="n">
        <f aca="false">INDEX(Perf!$C$103:$Q$103,3*(D$6-1)+2)</f>
        <v>5902.75485265774</v>
      </c>
      <c r="E28" s="96" t="n">
        <f aca="false">INDEX(Perf!$C$103:$Q$103,3*(E$6-1)+2)</f>
        <v>5902.75485265774</v>
      </c>
      <c r="F28" s="96" t="n">
        <f aca="false">INDEX(Perf!$C$103:$Q$103,3*(F$6-1)+2)</f>
        <v>1013.60270124925</v>
      </c>
      <c r="G28" s="96" t="n">
        <f aca="false">INDEX(Perf!$C$103:$Q$103,3*(G$6-1)+2)</f>
        <v>1013.60270124925</v>
      </c>
      <c r="H28" s="96" t="n">
        <f aca="false">INDEX(Perf!$C$103:$Q$103,3*(H$6-1)+2)</f>
        <v>1013.60270124925</v>
      </c>
      <c r="I28" s="96" t="n">
        <f aca="false">INDEX(Perf!$C$103:$Q$103,3*(I$6-1)+2)</f>
        <v>675.735134166168</v>
      </c>
      <c r="J28" s="96" t="n">
        <f aca="false">INDEX(Perf!$C$103:$Q$103,3*(J$6-1)+2)</f>
        <v>675.735134166168</v>
      </c>
      <c r="K28" s="96" t="n">
        <f aca="false">INDEX(Perf!$C$103:$Q$103,3*(K$6-1)+2)</f>
        <v>675.735134166168</v>
      </c>
      <c r="L28" s="96" t="n">
        <f aca="false">INDEX(Perf!$C$103:$Q$103,3*(L$6-1)+2)</f>
        <v>247.785926826261</v>
      </c>
      <c r="M28" s="96" t="n">
        <f aca="false">INDEX(Perf!$C$103:$Q$103,3*(M$6-1)+2)</f>
        <v>247.785926826261</v>
      </c>
      <c r="N28" s="96" t="n">
        <f aca="false">INDEX(Perf!$C$103:$Q$103,3*(N$6-1)+2)</f>
        <v>247.785926826261</v>
      </c>
      <c r="O28" s="96" t="n">
        <f aca="false">INDEX(Perf!$C$103:$Q$103,3*(O$6-1)+2)</f>
        <v>118.879183801455</v>
      </c>
      <c r="P28" s="96" t="n">
        <f aca="false">INDEX(Perf!$C$103:$Q$103,3*(P$6-1)+2)</f>
        <v>118.879183801455</v>
      </c>
      <c r="Q28" s="96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846</v>
      </c>
      <c r="B29" s="59" t="s">
        <v>795</v>
      </c>
      <c r="C29" s="123" t="n">
        <f aca="false">C$8/3600*C26</f>
        <v>0.134224657207592</v>
      </c>
      <c r="D29" s="123" t="n">
        <f aca="false">D$8/3600*D26</f>
        <v>0.191780186690782</v>
      </c>
      <c r="E29" s="123" t="n">
        <f aca="false">E$8/3600*E26</f>
        <v>0.32935711864356</v>
      </c>
      <c r="F29" s="123" t="n">
        <f aca="false">F$8/3600*F26</f>
        <v>0.018495300150885</v>
      </c>
      <c r="G29" s="123" t="n">
        <f aca="false">G$8/3600*G26</f>
        <v>0.0246951163043756</v>
      </c>
      <c r="H29" s="123" t="n">
        <f aca="false">H$8/3600*H26</f>
        <v>0.0400534934338416</v>
      </c>
      <c r="I29" s="123" t="n">
        <f aca="false">I$8/3600*I26</f>
        <v>0.0161952280965778</v>
      </c>
      <c r="J29" s="123" t="n">
        <f aca="false">J$8/3600*J26</f>
        <v>0.0209170743182869</v>
      </c>
      <c r="K29" s="123" t="n">
        <f aca="false">K$8/3600*K26</f>
        <v>0.0356123388503434</v>
      </c>
      <c r="L29" s="123" t="n">
        <f aca="false">L$8/3600*L26</f>
        <v>0.0130752181479087</v>
      </c>
      <c r="M29" s="123" t="n">
        <f aca="false">M$8/3600*M26</f>
        <v>0.0168050260436256</v>
      </c>
      <c r="N29" s="123" t="n">
        <f aca="false">N$8/3600*N26</f>
        <v>0.0271490399683714</v>
      </c>
      <c r="O29" s="123" t="n">
        <f aca="false">O$8/3600*O26</f>
        <v>0.0104010346120689</v>
      </c>
      <c r="P29" s="123" t="n">
        <f aca="false">P$8/3600*P26</f>
        <v>0.0158081464621773</v>
      </c>
      <c r="Q29" s="123" t="n">
        <f aca="false">Q$8/3600*Q26</f>
        <v>0.0288584270190855</v>
      </c>
    </row>
    <row r="30" customFormat="false" ht="15" hidden="false" customHeight="false" outlineLevel="0" collapsed="false">
      <c r="A30" s="58" t="s">
        <v>847</v>
      </c>
      <c r="B30" s="59" t="s">
        <v>795</v>
      </c>
      <c r="C30" s="124" t="n">
        <f aca="false">C$8/3600*C27</f>
        <v>1.18910885295117E-005</v>
      </c>
      <c r="D30" s="124" t="n">
        <f aca="false">D$8/3600*D27</f>
        <v>1.69899869784684E-005</v>
      </c>
      <c r="E30" s="124" t="n">
        <f aca="false">E$8/3600*E27</f>
        <v>2.91780566782028E-005</v>
      </c>
      <c r="F30" s="124" t="n">
        <f aca="false">F$8/3600*F27</f>
        <v>1.65674016449461E-005</v>
      </c>
      <c r="G30" s="124" t="n">
        <f aca="false">G$8/3600*G27</f>
        <v>2.21209662533469E-005</v>
      </c>
      <c r="H30" s="124" t="n">
        <f aca="false">H$8/3600*H27</f>
        <v>3.58784289840203E-005</v>
      </c>
      <c r="I30" s="124" t="n">
        <f aca="false">I$8/3600*I27</f>
        <v>2.17606240303174E-005</v>
      </c>
      <c r="J30" s="124" t="n">
        <f aca="false">J$8/3600*J27</f>
        <v>2.81051052408846E-005</v>
      </c>
      <c r="K30" s="124" t="n">
        <f aca="false">K$8/3600*K27</f>
        <v>4.7850311952466E-005</v>
      </c>
      <c r="L30" s="124" t="n">
        <f aca="false">L$8/3600*L27</f>
        <v>4.09930285583736E-005</v>
      </c>
      <c r="M30" s="124" t="n">
        <f aca="false">M$8/3600*M27</f>
        <v>5.2686609488098E-005</v>
      </c>
      <c r="N30" s="124" t="n">
        <f aca="false">N$8/3600*N27</f>
        <v>8.51168491543588E-005</v>
      </c>
      <c r="O30" s="124" t="n">
        <f aca="false">O$8/3600*O27</f>
        <v>6.52180184018376E-005</v>
      </c>
      <c r="P30" s="124" t="n">
        <f aca="false">P$8/3600*P27</f>
        <v>9.91224455375737E-005</v>
      </c>
      <c r="Q30" s="124" t="n">
        <f aca="false">Q$8/3600*Q27</f>
        <v>0.000180952135491878</v>
      </c>
    </row>
    <row r="31" customFormat="false" ht="15" hidden="false" customHeight="false" outlineLevel="0" collapsed="false">
      <c r="A31" s="59" t="s">
        <v>848</v>
      </c>
      <c r="B31" s="59" t="s">
        <v>795</v>
      </c>
      <c r="C31" s="123" t="n">
        <f aca="false">IF(ISNUMBER(C28),C$8/3600*C28,"SLO 不可達")</f>
        <v>1.7702441493306</v>
      </c>
      <c r="D31" s="123" t="n">
        <f aca="false">IF(ISNUMBER(D28),D$8/3600*D28,"SLO 不可達")</f>
        <v>2.52932479404151</v>
      </c>
      <c r="E31" s="123" t="n">
        <f aca="false">IF(ISNUMBER(E28),E$8/3600*E28,"SLO 不可達")</f>
        <v>4.34378097473856</v>
      </c>
      <c r="F31" s="123" t="n">
        <f aca="false">IF(ISNUMBER(F28),F$8/3600*F28,"SLO 不可達")</f>
        <v>0.423524919545995</v>
      </c>
      <c r="G31" s="123" t="n">
        <f aca="false">IF(ISNUMBER(G28),G$8/3600*G28,"SLO 不可達")</f>
        <v>0.565494858729786</v>
      </c>
      <c r="H31" s="123" t="n">
        <f aca="false">IF(ISNUMBER(H28),H$8/3600*H28,"SLO 不可達")</f>
        <v>0.917187201381651</v>
      </c>
      <c r="I31" s="123" t="n">
        <f aca="false">IF(ISNUMBER(I28),I$8/3600*I28,"SLO 不可達")</f>
        <v>0.37085544006724</v>
      </c>
      <c r="J31" s="123" t="n">
        <f aca="false">IF(ISNUMBER(J28),J$8/3600*J28,"SLO 不可達")</f>
        <v>0.478981262565029</v>
      </c>
      <c r="K31" s="123" t="n">
        <f aca="false">IF(ISNUMBER(K28),K$8/3600*K28,"SLO 不可達")</f>
        <v>0.815488952511794</v>
      </c>
      <c r="L31" s="123" t="n">
        <f aca="false">IF(ISNUMBER(L28),L$8/3600*L28,"SLO 不可達")</f>
        <v>0.256178955227036</v>
      </c>
      <c r="M31" s="123" t="n">
        <f aca="false">IF(ISNUMBER(M28),M$8/3600*M28,"SLO 不可達")</f>
        <v>0.329255999075451</v>
      </c>
      <c r="N31" s="123" t="n">
        <f aca="false">IF(ISNUMBER(N28),N$8/3600*N28,"SLO 不可達")</f>
        <v>0.531923262452556</v>
      </c>
      <c r="O31" s="123" t="n">
        <f aca="false">IF(ISNUMBER(O28),O$8/3600*O28,"SLO 不可達")</f>
        <v>0.195537573688745</v>
      </c>
      <c r="P31" s="123" t="n">
        <f aca="false">IF(ISNUMBER(P28),P$8/3600*P28,"SLO 不可達")</f>
        <v>0.297190300678713</v>
      </c>
      <c r="Q31" s="123" t="n">
        <f aca="false">IF(ISNUMBER(Q28),Q$8/3600*Q28,"SLO 不可達")</f>
        <v>0.542533220035429</v>
      </c>
    </row>
    <row r="32" customFormat="false" ht="15" hidden="false" customHeight="false" outlineLevel="0" collapsed="false">
      <c r="A32" s="58" t="s">
        <v>849</v>
      </c>
      <c r="B32" s="59" t="s">
        <v>795</v>
      </c>
      <c r="C32" s="113" t="n">
        <f aca="false">C29/C$10</f>
        <v>0.223707762012654</v>
      </c>
      <c r="D32" s="113" t="n">
        <f aca="false">D29/D$10</f>
        <v>0.319633644484636</v>
      </c>
      <c r="E32" s="113" t="n">
        <f aca="false">E29/E$10</f>
        <v>0.548928531072599</v>
      </c>
      <c r="F32" s="113" t="n">
        <f aca="false">F29/F$10</f>
        <v>0.030825500251475</v>
      </c>
      <c r="G32" s="113" t="n">
        <f aca="false">G29/G$10</f>
        <v>0.0411585271739594</v>
      </c>
      <c r="H32" s="113" t="n">
        <f aca="false">H29/H$10</f>
        <v>0.066755822389736</v>
      </c>
      <c r="I32" s="113" t="n">
        <f aca="false">I29/I$10</f>
        <v>0.0269920468276296</v>
      </c>
      <c r="J32" s="113" t="n">
        <f aca="false">J29/J$10</f>
        <v>0.0348617905304781</v>
      </c>
      <c r="K32" s="113" t="n">
        <f aca="false">K29/K$10</f>
        <v>0.0593538980839057</v>
      </c>
      <c r="L32" s="113" t="n">
        <f aca="false">L29/L$10</f>
        <v>0.0217920302465144</v>
      </c>
      <c r="M32" s="113" t="n">
        <f aca="false">M29/M$10</f>
        <v>0.028008376739376</v>
      </c>
      <c r="N32" s="113" t="n">
        <f aca="false">N29/N$10</f>
        <v>0.0452483999472857</v>
      </c>
      <c r="O32" s="113" t="n">
        <f aca="false">O29/O$10</f>
        <v>0.0173350576867815</v>
      </c>
      <c r="P32" s="113" t="n">
        <f aca="false">P29/P$10</f>
        <v>0.0263469107702954</v>
      </c>
      <c r="Q32" s="113" t="n">
        <f aca="false">Q29/Q$10</f>
        <v>0.0480973783651425</v>
      </c>
    </row>
    <row r="33" customFormat="false" ht="15" hidden="false" customHeight="false" outlineLevel="0" collapsed="false">
      <c r="A33" s="58" t="s">
        <v>850</v>
      </c>
      <c r="B33" s="59" t="s">
        <v>795</v>
      </c>
      <c r="C33" s="124" t="n">
        <f aca="false">C30/C$10</f>
        <v>1.98184808825195E-005</v>
      </c>
      <c r="D33" s="124" t="n">
        <f aca="false">D30/D$10</f>
        <v>2.83166449641139E-005</v>
      </c>
      <c r="E33" s="124" t="n">
        <f aca="false">E30/E$10</f>
        <v>4.86300944636713E-005</v>
      </c>
      <c r="F33" s="124" t="n">
        <f aca="false">F30/F$10</f>
        <v>2.76123360749102E-005</v>
      </c>
      <c r="G33" s="124" t="n">
        <f aca="false">G30/G$10</f>
        <v>3.68682770889116E-005</v>
      </c>
      <c r="H33" s="124" t="n">
        <f aca="false">H30/H$10</f>
        <v>5.97973816400338E-005</v>
      </c>
      <c r="I33" s="124" t="n">
        <f aca="false">I30/I$10</f>
        <v>3.62677067171957E-005</v>
      </c>
      <c r="J33" s="124" t="n">
        <f aca="false">J30/J$10</f>
        <v>4.68418420681409E-005</v>
      </c>
      <c r="K33" s="124" t="n">
        <f aca="false">K30/K$10</f>
        <v>7.97505199207767E-005</v>
      </c>
      <c r="L33" s="124" t="n">
        <f aca="false">L30/L$10</f>
        <v>6.8321714263956E-005</v>
      </c>
      <c r="M33" s="124" t="n">
        <f aca="false">M30/M$10</f>
        <v>8.78110158134967E-005</v>
      </c>
      <c r="N33" s="124" t="n">
        <f aca="false">N30/N$10</f>
        <v>0.000141861415257265</v>
      </c>
      <c r="O33" s="124" t="n">
        <f aca="false">O30/O$10</f>
        <v>0.000108696697336396</v>
      </c>
      <c r="P33" s="124" t="n">
        <f aca="false">P30/P$10</f>
        <v>0.000165204075895956</v>
      </c>
      <c r="Q33" s="124" t="n">
        <f aca="false">Q30/Q$10</f>
        <v>0.000301586892486463</v>
      </c>
    </row>
    <row r="34" customFormat="false" ht="15" hidden="false" customHeight="false" outlineLevel="0" collapsed="false">
      <c r="A34" s="59" t="s">
        <v>851</v>
      </c>
      <c r="B34" s="59" t="s">
        <v>795</v>
      </c>
      <c r="C34" s="123" t="n">
        <f aca="false">IF(ISNUMBER(C31),C31/C$10,C31)</f>
        <v>2.95040691555099</v>
      </c>
      <c r="D34" s="123" t="n">
        <f aca="false">IF(ISNUMBER(D31),D31/D$10,D31)</f>
        <v>4.21554132340252</v>
      </c>
      <c r="E34" s="123" t="n">
        <f aca="false">IF(ISNUMBER(E31),E31/E$10,E31)</f>
        <v>7.23963495789761</v>
      </c>
      <c r="F34" s="123" t="n">
        <f aca="false">IF(ISNUMBER(F31),F31/F$10,F31)</f>
        <v>0.705874865909993</v>
      </c>
      <c r="G34" s="123" t="n">
        <f aca="false">IF(ISNUMBER(G31),G31/G$10,G31)</f>
        <v>0.94249143121631</v>
      </c>
      <c r="H34" s="123" t="n">
        <f aca="false">IF(ISNUMBER(H31),H31/H$10,H31)</f>
        <v>1.52864533563608</v>
      </c>
      <c r="I34" s="123" t="n">
        <f aca="false">IF(ISNUMBER(I31),I31/I$10,I31)</f>
        <v>0.618092400112067</v>
      </c>
      <c r="J34" s="123" t="n">
        <f aca="false">IF(ISNUMBER(J31),J31/J$10,J31)</f>
        <v>0.798302104275049</v>
      </c>
      <c r="K34" s="123" t="n">
        <f aca="false">IF(ISNUMBER(K31),K31/K$10,K31)</f>
        <v>1.35914825418632</v>
      </c>
      <c r="L34" s="123" t="n">
        <f aca="false">IF(ISNUMBER(L31),L31/L$10,L31)</f>
        <v>0.426964925378394</v>
      </c>
      <c r="M34" s="123" t="n">
        <f aca="false">IF(ISNUMBER(M31),M31/M$10,M31)</f>
        <v>0.548759998459086</v>
      </c>
      <c r="N34" s="123" t="n">
        <f aca="false">IF(ISNUMBER(N31),N31/N$10,N31)</f>
        <v>0.88653877075426</v>
      </c>
      <c r="O34" s="123" t="n">
        <f aca="false">IF(ISNUMBER(O31),O31/O$10,O31)</f>
        <v>0.325895956147908</v>
      </c>
      <c r="P34" s="123" t="n">
        <f aca="false">IF(ISNUMBER(P31),P31/P$10,P31)</f>
        <v>0.495317167797854</v>
      </c>
      <c r="Q34" s="123" t="n">
        <f aca="false">IF(ISNUMBER(Q31),Q31/Q$10,Q31)</f>
        <v>0.904222033392382</v>
      </c>
    </row>
    <row r="35" customFormat="false" ht="15" hidden="false" customHeight="false" outlineLevel="0" collapsed="false">
      <c r="A35" s="59" t="s">
        <v>852</v>
      </c>
      <c r="B35" s="59" t="s">
        <v>795</v>
      </c>
      <c r="C35" s="113" t="n">
        <f aca="false">IF(ISNUMBER(C28),C$9/3600*C28,"SLO 不可達")</f>
        <v>1.3528895325435</v>
      </c>
      <c r="D35" s="113" t="n">
        <f aca="false">IF(ISNUMBER(D28),D$9/3600*D28,"SLO 不可達")</f>
        <v>1.85184630977381</v>
      </c>
      <c r="E35" s="113" t="n">
        <f aca="false">IF(ISNUMBER(E28),E$9/3600*E28,"SLO 不可達")</f>
        <v>3.18204353524464</v>
      </c>
      <c r="F35" s="113" t="n">
        <f aca="false">IF(ISNUMBER(F28),F$9/3600*F28,"SLO 不可達")</f>
        <v>0.32345052566641</v>
      </c>
      <c r="G35" s="113" t="n">
        <f aca="false">IF(ISNUMBER(G28),G$9/3600*G28,"SLO 不可達")</f>
        <v>0.41310702705128</v>
      </c>
      <c r="H35" s="113" t="n">
        <f aca="false">IF(ISNUMBER(H28),H$9/3600*H28,"SLO 不可達")</f>
        <v>0.667435310698456</v>
      </c>
      <c r="I35" s="113" t="n">
        <f aca="false">IF(ISNUMBER(I28),I$9/3600*I28,"SLO 不可達")</f>
        <v>0.284826143749672</v>
      </c>
      <c r="J35" s="113" t="n">
        <f aca="false">IF(ISNUMBER(J28),J$9/3600*J28,"SLO 不可達")</f>
        <v>0.351541292789194</v>
      </c>
      <c r="K35" s="113" t="n">
        <f aca="false">IF(ISNUMBER(K28),K$9/3600*K28,"SLO 不可達")</f>
        <v>0.599826966669016</v>
      </c>
      <c r="L35" s="113" t="n">
        <f aca="false">IF(ISNUMBER(L28),L$9/3600*L28,"SLO 不可達")</f>
        <v>0.197209692186701</v>
      </c>
      <c r="M35" s="113" t="n">
        <f aca="false">IF(ISNUMBER(M28),M$9/3600*M28,"SLO 不可達")</f>
        <v>0.242180453185295</v>
      </c>
      <c r="N35" s="113" t="n">
        <f aca="false">IF(ISNUMBER(N28),N$9/3600*N28,"SLO 不可達")</f>
        <v>0.392124782476187</v>
      </c>
      <c r="O35" s="113" t="n">
        <f aca="false">IF(ISNUMBER(O28),O$9/3600*O28,"SLO 不可達")</f>
        <v>0.150686185408772</v>
      </c>
      <c r="P35" s="113" t="n">
        <f aca="false">IF(ISNUMBER(P28),P$9/3600*P28,"SLO 不可達")</f>
        <v>0.21938421275425</v>
      </c>
      <c r="Q35" s="113" t="n">
        <f aca="false">IF(ISNUMBER(Q28),Q$9/3600*Q28,"SLO 不可達")</f>
        <v>0.403952915259799</v>
      </c>
    </row>
    <row r="36" customFormat="false" ht="15" hidden="false" customHeight="false" outlineLevel="0" collapsed="false">
      <c r="A36" s="58" t="s">
        <v>853</v>
      </c>
      <c r="B36" s="59" t="s">
        <v>795</v>
      </c>
      <c r="C36" s="92" t="n">
        <f aca="false">IF(ISNUMBER(C31),(Serving!$D$23*C29+Serving!$D$24*C31)/(Serving!$D$23+Serving!$D$24),C31)</f>
        <v>0.316004600776815</v>
      </c>
      <c r="D36" s="92" t="n">
        <f aca="false">IF(ISNUMBER(D31),(Serving!$D$23*D29+Serving!$D$24*D31)/(Serving!$D$23+Serving!$D$24),D31)</f>
        <v>0.451507365285308</v>
      </c>
      <c r="E36" s="92" t="n">
        <f aca="false">IF(ISNUMBER(E31),(Serving!$D$23*E29+Serving!$D$24*E31)/(Serving!$D$23+Serving!$D$24),E31)</f>
        <v>0.775404213765227</v>
      </c>
      <c r="F36" s="92" t="n">
        <f aca="false">IF(ISNUMBER(F31),(Serving!$D$23*F29+Serving!$D$24*F31)/(Serving!$D$23+Serving!$D$24),F31)</f>
        <v>0.0634985911947861</v>
      </c>
      <c r="G36" s="92" t="n">
        <f aca="false">IF(ISNUMBER(G31),(Serving!$D$23*G29+Serving!$D$24*G31)/(Serving!$D$23+Serving!$D$24),G31)</f>
        <v>0.0847839765738656</v>
      </c>
      <c r="H36" s="92" t="n">
        <f aca="false">IF(ISNUMBER(H31),(Serving!$D$23*H29+Serving!$D$24*H31)/(Serving!$D$23+Serving!$D$24),H31)</f>
        <v>0.137512794316931</v>
      </c>
      <c r="I36" s="92" t="n">
        <f aca="false">IF(ISNUMBER(I31),(Serving!$D$23*I29+Serving!$D$24*I31)/(Serving!$D$23+Serving!$D$24),I31)</f>
        <v>0.0556019183155402</v>
      </c>
      <c r="J36" s="92" t="n">
        <f aca="false">IF(ISNUMBER(J31),(Serving!$D$23*J29+Serving!$D$24*J31)/(Serving!$D$23+Serving!$D$24),J31)</f>
        <v>0.0718130952345916</v>
      </c>
      <c r="K36" s="92" t="n">
        <f aca="false">IF(ISNUMBER(K31),(Serving!$D$23*K29+Serving!$D$24*K31)/(Serving!$D$23+Serving!$D$24),K31)</f>
        <v>0.122265295923838</v>
      </c>
      <c r="L36" s="92" t="n">
        <f aca="false">IF(ISNUMBER(L31),(Serving!$D$23*L29+Serving!$D$24*L31)/(Serving!$D$23+Serving!$D$24),L31)</f>
        <v>0.0400867444900339</v>
      </c>
      <c r="M36" s="92" t="n">
        <f aca="false">IF(ISNUMBER(M31),(Serving!$D$23*M29+Serving!$D$24*M31)/(Serving!$D$23+Serving!$D$24),M31)</f>
        <v>0.0515218008249395</v>
      </c>
      <c r="N36" s="92" t="n">
        <f aca="false">IF(ISNUMBER(N31),(Serving!$D$23*N29+Serving!$D$24*N31)/(Serving!$D$23+Serving!$D$24),N31)</f>
        <v>0.0832350646888363</v>
      </c>
      <c r="O36" s="92" t="n">
        <f aca="false">IF(ISNUMBER(O31),(Serving!$D$23*O29+Serving!$D$24*O31)/(Serving!$D$23+Serving!$D$24),O31)</f>
        <v>0.030971761176144</v>
      </c>
      <c r="P36" s="92" t="n">
        <f aca="false">IF(ISNUMBER(P31),(Serving!$D$23*P29+Serving!$D$24*P31)/(Serving!$D$23+Serving!$D$24),P31)</f>
        <v>0.0470728302640145</v>
      </c>
      <c r="Q36" s="92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251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9" t="s">
        <v>843</v>
      </c>
      <c r="B39" s="59" t="s">
        <v>781</v>
      </c>
      <c r="C39" s="96" t="n">
        <f aca="false">INDEX(Perf!$C$101:$Q$101,3*(C$6-1)+3)</f>
        <v>1484.76790293225</v>
      </c>
      <c r="D39" s="96" t="n">
        <f aca="false">INDEX(Perf!$C$101:$Q$101,3*(D$6-1)+3)</f>
        <v>1484.76790293225</v>
      </c>
      <c r="E39" s="96" t="n">
        <f aca="false">INDEX(Perf!$C$101:$Q$101,3*(E$6-1)+3)</f>
        <v>1484.76790293225</v>
      </c>
      <c r="F39" s="96" t="n">
        <f aca="false">INDEX(Perf!$C$101:$Q$101,3*(F$6-1)+3)</f>
        <v>146.8435456</v>
      </c>
      <c r="G39" s="96" t="n">
        <f aca="false">INDEX(Perf!$C$101:$Q$101,3*(G$6-1)+3)</f>
        <v>146.8435456</v>
      </c>
      <c r="H39" s="96" t="n">
        <f aca="false">INDEX(Perf!$C$101:$Q$101,3*(H$6-1)+3)</f>
        <v>146.8435456</v>
      </c>
      <c r="I39" s="96" t="n">
        <f aca="false">INDEX(Perf!$C$101:$Q$101,3*(I$6-1)+3)</f>
        <v>97.8956970666667</v>
      </c>
      <c r="J39" s="96" t="n">
        <f aca="false">INDEX(Perf!$C$101:$Q$101,3*(J$6-1)+3)</f>
        <v>97.8956970666667</v>
      </c>
      <c r="K39" s="96" t="n">
        <f aca="false">INDEX(Perf!$C$101:$Q$101,3*(K$6-1)+3)</f>
        <v>97.8956970666667</v>
      </c>
      <c r="L39" s="96" t="n">
        <f aca="false">INDEX(Perf!$C$101:$Q$101,3*(L$6-1)+3)</f>
        <v>41.9552987428571</v>
      </c>
      <c r="M39" s="96" t="n">
        <f aca="false">INDEX(Perf!$C$101:$Q$101,3*(M$6-1)+3)</f>
        <v>41.9552987428571</v>
      </c>
      <c r="N39" s="96" t="n">
        <f aca="false">INDEX(Perf!$C$101:$Q$101,3*(N$6-1)+3)</f>
        <v>41.9552987428571</v>
      </c>
      <c r="O39" s="96" t="n">
        <f aca="false">INDEX(Perf!$C$101:$Q$101,3*(O$6-1)+3)</f>
        <v>20.9776493714286</v>
      </c>
      <c r="P39" s="96" t="n">
        <f aca="false">INDEX(Perf!$C$101:$Q$101,3*(P$6-1)+3)</f>
        <v>20.9776493714286</v>
      </c>
      <c r="Q39" s="96" t="n">
        <f aca="false">INDEX(Perf!$C$101:$Q$101,3*(Q$6-1)+3)</f>
        <v>20.9776493714286</v>
      </c>
    </row>
    <row r="40" customFormat="false" ht="15" hidden="false" customHeight="false" outlineLevel="0" collapsed="false">
      <c r="A40" s="59" t="s">
        <v>844</v>
      </c>
      <c r="B40" s="59" t="s">
        <v>781</v>
      </c>
      <c r="C40" s="92" t="n">
        <f aca="false">INDEX(Perf!$C$102:$Q$102,3*(C$6-1)+3)</f>
        <v>0.576</v>
      </c>
      <c r="D40" s="92" t="n">
        <f aca="false">INDEX(Perf!$C$102:$Q$102,3*(D$6-1)+3)</f>
        <v>0.576</v>
      </c>
      <c r="E40" s="92" t="n">
        <f aca="false">INDEX(Perf!$C$102:$Q$102,3*(E$6-1)+3)</f>
        <v>0.576</v>
      </c>
      <c r="F40" s="92" t="n">
        <f aca="false">INDEX(Perf!$C$102:$Q$102,3*(F$6-1)+3)</f>
        <v>0.576</v>
      </c>
      <c r="G40" s="92" t="n">
        <f aca="false">INDEX(Perf!$C$102:$Q$102,3*(G$6-1)+3)</f>
        <v>0.576</v>
      </c>
      <c r="H40" s="92" t="n">
        <f aca="false">INDEX(Perf!$C$102:$Q$102,3*(H$6-1)+3)</f>
        <v>0.576</v>
      </c>
      <c r="I40" s="92" t="n">
        <f aca="false">INDEX(Perf!$C$102:$Q$102,3*(I$6-1)+3)</f>
        <v>0.576</v>
      </c>
      <c r="J40" s="92" t="n">
        <f aca="false">INDEX(Perf!$C$102:$Q$102,3*(J$6-1)+3)</f>
        <v>0.576</v>
      </c>
      <c r="K40" s="92" t="n">
        <f aca="false">INDEX(Perf!$C$102:$Q$102,3*(K$6-1)+3)</f>
        <v>0.576</v>
      </c>
      <c r="L40" s="92" t="n">
        <f aca="false">INDEX(Perf!$C$102:$Q$102,3*(L$6-1)+3)</f>
        <v>0.576</v>
      </c>
      <c r="M40" s="92" t="n">
        <f aca="false">INDEX(Perf!$C$102:$Q$102,3*(M$6-1)+3)</f>
        <v>0.576</v>
      </c>
      <c r="N40" s="92" t="n">
        <f aca="false">INDEX(Perf!$C$102:$Q$102,3*(N$6-1)+3)</f>
        <v>0.576</v>
      </c>
      <c r="O40" s="92" t="n">
        <f aca="false">INDEX(Perf!$C$102:$Q$102,3*(O$6-1)+3)</f>
        <v>0.576</v>
      </c>
      <c r="P40" s="92" t="n">
        <f aca="false">INDEX(Perf!$C$102:$Q$102,3*(P$6-1)+3)</f>
        <v>0.576</v>
      </c>
      <c r="Q40" s="92" t="n">
        <f aca="false">INDEX(Perf!$C$102:$Q$102,3*(Q$6-1)+3)</f>
        <v>0.576</v>
      </c>
    </row>
    <row r="41" customFormat="false" ht="15" hidden="false" customHeight="false" outlineLevel="0" collapsed="false">
      <c r="A41" s="59" t="s">
        <v>845</v>
      </c>
      <c r="B41" s="59" t="s">
        <v>781</v>
      </c>
      <c r="C41" s="96" t="n">
        <f aca="false">INDEX(Perf!$C$103:$Q$103,3*(C$6-1)+3)</f>
        <v>40694.6140792865</v>
      </c>
      <c r="D41" s="96" t="n">
        <f aca="false">INDEX(Perf!$C$103:$Q$103,3*(D$6-1)+3)</f>
        <v>40694.6140792865</v>
      </c>
      <c r="E41" s="96" t="n">
        <f aca="false">INDEX(Perf!$C$103:$Q$103,3*(E$6-1)+3)</f>
        <v>40694.6140792865</v>
      </c>
      <c r="F41" s="96" t="n">
        <f aca="false">INDEX(Perf!$C$103:$Q$103,3*(F$6-1)+3)</f>
        <v>5931.07676520949</v>
      </c>
      <c r="G41" s="96" t="n">
        <f aca="false">INDEX(Perf!$C$103:$Q$103,3*(G$6-1)+3)</f>
        <v>5931.07676520949</v>
      </c>
      <c r="H41" s="96" t="n">
        <f aca="false">INDEX(Perf!$C$103:$Q$103,3*(H$6-1)+3)</f>
        <v>5931.07676520949</v>
      </c>
      <c r="I41" s="96" t="n">
        <f aca="false">INDEX(Perf!$C$103:$Q$103,3*(I$6-1)+3)</f>
        <v>4920.52361227776</v>
      </c>
      <c r="J41" s="96" t="n">
        <f aca="false">INDEX(Perf!$C$103:$Q$103,3*(J$6-1)+3)</f>
        <v>4920.52361227776</v>
      </c>
      <c r="K41" s="96" t="n">
        <f aca="false">INDEX(Perf!$C$103:$Q$103,3*(K$6-1)+3)</f>
        <v>4920.52361227776</v>
      </c>
      <c r="L41" s="96" t="n">
        <f aca="false">INDEX(Perf!$C$103:$Q$103,3*(L$6-1)+3)</f>
        <v>1282.63712409266</v>
      </c>
      <c r="M41" s="96" t="n">
        <f aca="false">INDEX(Perf!$C$103:$Q$103,3*(M$6-1)+3)</f>
        <v>1282.63712409266</v>
      </c>
      <c r="N41" s="96" t="n">
        <f aca="false">INDEX(Perf!$C$103:$Q$103,3*(N$6-1)+3)</f>
        <v>1282.63712409266</v>
      </c>
      <c r="O41" s="96" t="n">
        <f aca="false">INDEX(Perf!$C$103:$Q$103,3*(O$6-1)+3)</f>
        <v>575.147245462511</v>
      </c>
      <c r="P41" s="96" t="n">
        <f aca="false">INDEX(Perf!$C$103:$Q$103,3*(P$6-1)+3)</f>
        <v>575.147245462511</v>
      </c>
      <c r="Q41" s="96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846</v>
      </c>
      <c r="B42" s="59" t="s">
        <v>795</v>
      </c>
      <c r="C42" s="123" t="n">
        <f aca="false">C$8/3600*C39</f>
        <v>0.445283898601385</v>
      </c>
      <c r="D42" s="123" t="n">
        <f aca="false">D$8/3600*D39</f>
        <v>0.636221622619591</v>
      </c>
      <c r="E42" s="123" t="n">
        <f aca="false">E$8/3600*E39</f>
        <v>1.09262653280539</v>
      </c>
      <c r="F42" s="123" t="n">
        <f aca="false">F$8/3600*F39</f>
        <v>0.061357276139298</v>
      </c>
      <c r="G42" s="123" t="n">
        <f aca="false">G$8/3600*G39</f>
        <v>0.0819248705356724</v>
      </c>
      <c r="H42" s="123" t="n">
        <f aca="false">H$8/3600*H39</f>
        <v>0.132875554163212</v>
      </c>
      <c r="I42" s="123" t="n">
        <f aca="false">I$8/3600*I39</f>
        <v>0.0537268967983248</v>
      </c>
      <c r="J42" s="123" t="n">
        <f aca="false">J$8/3600*J39</f>
        <v>0.0693913964360257</v>
      </c>
      <c r="K42" s="123" t="n">
        <f aca="false">K$8/3600*K39</f>
        <v>0.118142235648023</v>
      </c>
      <c r="L42" s="123" t="n">
        <f aca="false">L$8/3600*L39</f>
        <v>0.0433764125987652</v>
      </c>
      <c r="M42" s="123" t="n">
        <f aca="false">M$8/3600*M39</f>
        <v>0.0557498724040708</v>
      </c>
      <c r="N42" s="123" t="n">
        <f aca="false">N$8/3600*N39</f>
        <v>0.0900656452540185</v>
      </c>
      <c r="O42" s="123" t="n">
        <f aca="false">O$8/3600*O39</f>
        <v>0.0345049362606085</v>
      </c>
      <c r="P42" s="123" t="n">
        <f aca="false">P$8/3600*P39</f>
        <v>0.0524427719375976</v>
      </c>
      <c r="Q42" s="123" t="n">
        <f aca="false">Q$8/3600*Q39</f>
        <v>0.0957364552675877</v>
      </c>
    </row>
    <row r="43" customFormat="false" ht="15" hidden="false" customHeight="false" outlineLevel="0" collapsed="false">
      <c r="A43" s="58" t="s">
        <v>847</v>
      </c>
      <c r="B43" s="59" t="s">
        <v>795</v>
      </c>
      <c r="C43" s="124" t="n">
        <f aca="false">C$8/3600*C40</f>
        <v>0.000172743177629224</v>
      </c>
      <c r="D43" s="124" t="n">
        <f aca="false">D$8/3600*D40</f>
        <v>0.000246815447656943</v>
      </c>
      <c r="E43" s="124" t="n">
        <f aca="false">E$8/3600*E40</f>
        <v>0.000423872904076792</v>
      </c>
      <c r="F43" s="124" t="n">
        <f aca="false">F$8/3600*F40</f>
        <v>0.000240676503089255</v>
      </c>
      <c r="G43" s="124" t="n">
        <f aca="false">G$8/3600*G40</f>
        <v>0.000321353759443325</v>
      </c>
      <c r="H43" s="124" t="n">
        <f aca="false">H$8/3600*H40</f>
        <v>0.000521209964559791</v>
      </c>
      <c r="I43" s="124" t="n">
        <f aca="false">I$8/3600*I40</f>
        <v>0.000316119027527436</v>
      </c>
      <c r="J43" s="124" t="n">
        <f aca="false">J$8/3600*J40</f>
        <v>0.000408286018127352</v>
      </c>
      <c r="K43" s="124" t="n">
        <f aca="false">K$8/3600*K40</f>
        <v>0.000695126852071133</v>
      </c>
      <c r="L43" s="124" t="n">
        <f aca="false">L$8/3600*L40</f>
        <v>0.000595510326598316</v>
      </c>
      <c r="M43" s="124" t="n">
        <f aca="false">M$8/3600*M40</f>
        <v>0.000765384289158751</v>
      </c>
      <c r="N43" s="124" t="n">
        <f aca="false">N$8/3600*N40</f>
        <v>0.00123650202050216</v>
      </c>
      <c r="O43" s="124" t="n">
        <f aca="false">O$8/3600*O40</f>
        <v>0.00094742947287411</v>
      </c>
      <c r="P43" s="124" t="n">
        <f aca="false">P$8/3600*P40</f>
        <v>0.00143996289103764</v>
      </c>
      <c r="Q43" s="124" t="n">
        <f aca="false">Q$8/3600*Q40</f>
        <v>0.00262871198091606</v>
      </c>
    </row>
    <row r="44" customFormat="false" ht="15" hidden="false" customHeight="false" outlineLevel="0" collapsed="false">
      <c r="A44" s="59" t="s">
        <v>848</v>
      </c>
      <c r="B44" s="59" t="s">
        <v>795</v>
      </c>
      <c r="C44" s="123" t="n">
        <f aca="false">IF(ISNUMBER(C41),C$8/3600*C41,"SLO 不可達")</f>
        <v>12.2043697021718</v>
      </c>
      <c r="D44" s="123" t="n">
        <f aca="false">IF(ISNUMBER(D41),D$8/3600*D41,"SLO 不可達")</f>
        <v>17.437603109732</v>
      </c>
      <c r="E44" s="123" t="n">
        <f aca="false">IF(ISNUMBER(E41),E$8/3600*E41,"SLO 不可達")</f>
        <v>29.9467782119297</v>
      </c>
      <c r="F44" s="123" t="n">
        <f aca="false">IF(ISNUMBER(F41),F$8/3600*F41,"SLO 不可達")</f>
        <v>2.47824794341068</v>
      </c>
      <c r="G44" s="123" t="n">
        <f aca="false">IF(ISNUMBER(G41),G$8/3600*G41,"SLO 不可達")</f>
        <v>3.30898231952609</v>
      </c>
      <c r="H44" s="123" t="n">
        <f aca="false">IF(ISNUMBER(H41),H$8/3600*H41,"SLO 不可達")</f>
        <v>5.36690331700735</v>
      </c>
      <c r="I44" s="123" t="n">
        <f aca="false">IF(ISNUMBER(I41),I$8/3600*I41,"SLO 不可達")</f>
        <v>2.70047072784554</v>
      </c>
      <c r="J44" s="123" t="n">
        <f aca="false">IF(ISNUMBER(J41),J$8/3600*J41,"SLO 不可達")</f>
        <v>3.48781422353906</v>
      </c>
      <c r="K44" s="123" t="n">
        <f aca="false">IF(ISNUMBER(K41),K$8/3600*K41,"SLO 不可達")</f>
        <v>5.93817376587556</v>
      </c>
      <c r="L44" s="123" t="n">
        <f aca="false">IF(ISNUMBER(L41),L$8/3600*L41,"SLO 不可達")</f>
        <v>1.32608273033948</v>
      </c>
      <c r="M44" s="123" t="n">
        <f aca="false">IF(ISNUMBER(M41),M$8/3600*M41,"SLO 不可達")</f>
        <v>1.70435816575049</v>
      </c>
      <c r="N44" s="123" t="n">
        <f aca="false">IF(ISNUMBER(N41),N$8/3600*N41,"SLO 不可達")</f>
        <v>2.7534433949855</v>
      </c>
      <c r="O44" s="123" t="n">
        <f aca="false">IF(ISNUMBER(O41),O$8/3600*O41,"SLO 不可達")</f>
        <v>0.946026825683234</v>
      </c>
      <c r="P44" s="123" t="n">
        <f aca="false">IF(ISNUMBER(P41),P$8/3600*P41,"SLO 不可達")</f>
        <v>1.43783105963287</v>
      </c>
      <c r="Q44" s="123" t="n">
        <f aca="false">IF(ISNUMBER(Q41),Q$8/3600*Q41,"SLO 不可達")</f>
        <v>2.62482023426766</v>
      </c>
    </row>
    <row r="45" customFormat="false" ht="15" hidden="false" customHeight="false" outlineLevel="0" collapsed="false">
      <c r="A45" s="58" t="s">
        <v>849</v>
      </c>
      <c r="B45" s="59" t="s">
        <v>795</v>
      </c>
      <c r="C45" s="113" t="n">
        <f aca="false">C42/C$10</f>
        <v>0.742139831002308</v>
      </c>
      <c r="D45" s="113" t="n">
        <f aca="false">D42/D$10</f>
        <v>1.06036937103265</v>
      </c>
      <c r="E45" s="113" t="n">
        <f aca="false">E42/E$10</f>
        <v>1.82104422134231</v>
      </c>
      <c r="F45" s="113" t="n">
        <f aca="false">F42/F$10</f>
        <v>0.10226212689883</v>
      </c>
      <c r="G45" s="113" t="n">
        <f aca="false">G42/G$10</f>
        <v>0.136541450892787</v>
      </c>
      <c r="H45" s="113" t="n">
        <f aca="false">H42/H$10</f>
        <v>0.221459256938686</v>
      </c>
      <c r="I45" s="113" t="n">
        <f aca="false">I42/I$10</f>
        <v>0.089544827997208</v>
      </c>
      <c r="J45" s="113" t="n">
        <f aca="false">J42/J$10</f>
        <v>0.115652327393376</v>
      </c>
      <c r="K45" s="113" t="n">
        <f aca="false">K42/K$10</f>
        <v>0.196903726080038</v>
      </c>
      <c r="L45" s="113" t="n">
        <f aca="false">L42/L$10</f>
        <v>0.072294020997942</v>
      </c>
      <c r="M45" s="113" t="n">
        <f aca="false">M42/M$10</f>
        <v>0.0929164540067846</v>
      </c>
      <c r="N45" s="113" t="n">
        <f aca="false">N42/N$10</f>
        <v>0.150109408756697</v>
      </c>
      <c r="O45" s="113" t="n">
        <f aca="false">O42/O$10</f>
        <v>0.0575082271010141</v>
      </c>
      <c r="P45" s="113" t="n">
        <f aca="false">P42/P$10</f>
        <v>0.0874046198959961</v>
      </c>
      <c r="Q45" s="113" t="n">
        <f aca="false">Q42/Q$10</f>
        <v>0.159560758779313</v>
      </c>
    </row>
    <row r="46" customFormat="false" ht="15" hidden="false" customHeight="false" outlineLevel="0" collapsed="false">
      <c r="A46" s="58" t="s">
        <v>850</v>
      </c>
      <c r="B46" s="59" t="s">
        <v>795</v>
      </c>
      <c r="C46" s="124" t="n">
        <f aca="false">C43/C$10</f>
        <v>0.000287905296048707</v>
      </c>
      <c r="D46" s="124" t="n">
        <f aca="false">D43/D$10</f>
        <v>0.000411359079428238</v>
      </c>
      <c r="E46" s="124" t="n">
        <f aca="false">E43/E$10</f>
        <v>0.000706454840127987</v>
      </c>
      <c r="F46" s="124" t="n">
        <f aca="false">F43/F$10</f>
        <v>0.000401127505148759</v>
      </c>
      <c r="G46" s="124" t="n">
        <f aca="false">G43/G$10</f>
        <v>0.000535589599072208</v>
      </c>
      <c r="H46" s="124" t="n">
        <f aca="false">H43/H$10</f>
        <v>0.000868683274266317</v>
      </c>
      <c r="I46" s="124" t="n">
        <f aca="false">I43/I$10</f>
        <v>0.000526865045879059</v>
      </c>
      <c r="J46" s="124" t="n">
        <f aca="false">J43/J$10</f>
        <v>0.00068047669687892</v>
      </c>
      <c r="K46" s="124" t="n">
        <f aca="false">K43/K$10</f>
        <v>0.00115854475345189</v>
      </c>
      <c r="L46" s="124" t="n">
        <f aca="false">L43/L$10</f>
        <v>0.000992517210997193</v>
      </c>
      <c r="M46" s="124" t="n">
        <f aca="false">M43/M$10</f>
        <v>0.00127564048193125</v>
      </c>
      <c r="N46" s="124" t="n">
        <f aca="false">N43/N$10</f>
        <v>0.00206083670083694</v>
      </c>
      <c r="O46" s="124" t="n">
        <f aca="false">O43/O$10</f>
        <v>0.00157904912145685</v>
      </c>
      <c r="P46" s="124" t="n">
        <f aca="false">P43/P$10</f>
        <v>0.0023999381517294</v>
      </c>
      <c r="Q46" s="124" t="n">
        <f aca="false">Q43/Q$10</f>
        <v>0.0043811866348601</v>
      </c>
    </row>
    <row r="47" customFormat="false" ht="15" hidden="false" customHeight="false" outlineLevel="0" collapsed="false">
      <c r="A47" s="59" t="s">
        <v>851</v>
      </c>
      <c r="B47" s="59" t="s">
        <v>795</v>
      </c>
      <c r="C47" s="123" t="n">
        <f aca="false">IF(ISNUMBER(C44),C44/C$10,C44)</f>
        <v>20.3406161702863</v>
      </c>
      <c r="D47" s="123" t="n">
        <f aca="false">IF(ISNUMBER(D44),D44/D$10,D44)</f>
        <v>29.0626718495533</v>
      </c>
      <c r="E47" s="123" t="n">
        <f aca="false">IF(ISNUMBER(E44),E44/E$10,E44)</f>
        <v>49.9112970198828</v>
      </c>
      <c r="F47" s="123" t="n">
        <f aca="false">IF(ISNUMBER(F44),F44/F$10,F44)</f>
        <v>4.13041323901781</v>
      </c>
      <c r="G47" s="123" t="n">
        <f aca="false">IF(ISNUMBER(G44),G44/G$10,G44)</f>
        <v>5.51497053254348</v>
      </c>
      <c r="H47" s="123" t="n">
        <f aca="false">IF(ISNUMBER(H44),H44/H$10,H44)</f>
        <v>8.94483886167893</v>
      </c>
      <c r="I47" s="123" t="n">
        <f aca="false">IF(ISNUMBER(I44),I44/I$10,I44)</f>
        <v>4.50078454640923</v>
      </c>
      <c r="J47" s="123" t="n">
        <f aca="false">IF(ISNUMBER(J44),J44/J$10,J44)</f>
        <v>5.81302370589844</v>
      </c>
      <c r="K47" s="123" t="n">
        <f aca="false">IF(ISNUMBER(K44),K44/K$10,K44)</f>
        <v>9.89695627645926</v>
      </c>
      <c r="L47" s="123" t="n">
        <f aca="false">IF(ISNUMBER(L44),L44/L$10,L44)</f>
        <v>2.21013788389914</v>
      </c>
      <c r="M47" s="123" t="n">
        <f aca="false">IF(ISNUMBER(M44),M44/M$10,M44)</f>
        <v>2.84059694291748</v>
      </c>
      <c r="N47" s="123" t="n">
        <f aca="false">IF(ISNUMBER(N44),N44/N$10,N44)</f>
        <v>4.58907232497584</v>
      </c>
      <c r="O47" s="123" t="n">
        <f aca="false">IF(ISNUMBER(O44),O44/O$10,O44)</f>
        <v>1.57671137613872</v>
      </c>
      <c r="P47" s="123" t="n">
        <f aca="false">IF(ISNUMBER(P44),P44/P$10,P44)</f>
        <v>2.39638509938812</v>
      </c>
      <c r="Q47" s="123" t="n">
        <f aca="false">IF(ISNUMBER(Q44),Q44/Q$10,Q44)</f>
        <v>4.3747003904461</v>
      </c>
    </row>
    <row r="48" customFormat="false" ht="15" hidden="false" customHeight="false" outlineLevel="0" collapsed="false">
      <c r="A48" s="59" t="s">
        <v>852</v>
      </c>
      <c r="B48" s="59" t="s">
        <v>795</v>
      </c>
      <c r="C48" s="113" t="n">
        <f aca="false">IF(ISNUMBER(C41),C$9/3600*C41,"SLO 不可達")</f>
        <v>9.32705470463084</v>
      </c>
      <c r="D48" s="113" t="n">
        <f aca="false">IF(ISNUMBER(D41),D$9/3600*D41,"SLO 不可達")</f>
        <v>12.7669491265532</v>
      </c>
      <c r="E48" s="113" t="n">
        <f aca="false">IF(ISNUMBER(E41),E$9/3600*E41,"SLO 不可達")</f>
        <v>21.9375591368097</v>
      </c>
      <c r="F48" s="113" t="n">
        <f aca="false">IF(ISNUMBER(F41),F$9/3600*F41,"SLO 不可達")</f>
        <v>1.89266454707592</v>
      </c>
      <c r="G48" s="113" t="n">
        <f aca="false">IF(ISNUMBER(G41),G$9/3600*G41,"SLO 不可達")</f>
        <v>2.41728784529561</v>
      </c>
      <c r="H48" s="113" t="n">
        <f aca="false">IF(ISNUMBER(H41),H$9/3600*H41,"SLO 不可達")</f>
        <v>3.90548491897767</v>
      </c>
      <c r="I48" s="113" t="n">
        <f aca="false">IF(ISNUMBER(I41),I$9/3600*I41,"SLO 不可達")</f>
        <v>2.0740282617444</v>
      </c>
      <c r="J48" s="113" t="n">
        <f aca="false">IF(ISNUMBER(J41),J$9/3600*J41,"SLO 不可達")</f>
        <v>2.55983024176232</v>
      </c>
      <c r="K48" s="113" t="n">
        <f aca="false">IF(ISNUMBER(K41),K$9/3600*K41,"SLO 不可達")</f>
        <v>4.36778051568657</v>
      </c>
      <c r="L48" s="113" t="n">
        <f aca="false">IF(ISNUMBER(L41),L$9/3600*L41,"SLO 不可達")</f>
        <v>1.02083470062005</v>
      </c>
      <c r="M48" s="113" t="n">
        <f aca="false">IF(ISNUMBER(M41),M$9/3600*M41,"SLO 不可達")</f>
        <v>1.25362099439508</v>
      </c>
      <c r="N48" s="113" t="n">
        <f aca="false">IF(ISNUMBER(N41),N$9/3600*N41,"SLO 不可達")</f>
        <v>2.02979164201432</v>
      </c>
      <c r="O48" s="113" t="n">
        <f aca="false">IF(ISNUMBER(O41),O$9/3600*O41,"SLO 不可達")</f>
        <v>0.729032129055107</v>
      </c>
      <c r="P48" s="113" t="n">
        <f aca="false">IF(ISNUMBER(P41),P$9/3600*P41,"SLO 不可達")</f>
        <v>1.06139882213781</v>
      </c>
      <c r="Q48" s="113" t="n">
        <f aca="false">IF(ISNUMBER(Q41),Q$9/3600*Q41,"SLO 不可達")</f>
        <v>1.95435734902295</v>
      </c>
    </row>
    <row r="49" customFormat="false" ht="15" hidden="false" customHeight="false" outlineLevel="0" collapsed="false">
      <c r="A49" s="58" t="s">
        <v>853</v>
      </c>
      <c r="B49" s="59" t="s">
        <v>795</v>
      </c>
      <c r="C49" s="92" t="n">
        <f aca="false">IF(ISNUMBER(C44),(Serving!$E$23*C42+Serving!$E$24*C44)/(Serving!$E$23+Serving!$E$24),C44)</f>
        <v>1.75184898788698</v>
      </c>
      <c r="D49" s="92" t="n">
        <f aca="false">IF(ISNUMBER(D44),(Serving!$E$23*D42+Serving!$E$24*D44)/(Serving!$E$23+Serving!$E$24),D44)</f>
        <v>2.5030417878543</v>
      </c>
      <c r="E49" s="92" t="n">
        <f aca="false">IF(ISNUMBER(E44),(Serving!$E$23*E42+Serving!$E$24*E44)/(Serving!$E$23+Serving!$E$24),E44)</f>
        <v>4.29864338604142</v>
      </c>
      <c r="F49" s="92" t="n">
        <f aca="false">IF(ISNUMBER(F44),(Serving!$E$23*F42+Serving!$E$24*F44)/(Serving!$E$23+Serving!$E$24),F44)</f>
        <v>0.329900683613896</v>
      </c>
      <c r="G49" s="92" t="n">
        <f aca="false">IF(ISNUMBER(G44),(Serving!$E$23*G42+Serving!$E$24*G44)/(Serving!$E$23+Serving!$E$24),G44)</f>
        <v>0.440486809312385</v>
      </c>
      <c r="H49" s="92" t="n">
        <f aca="false">IF(ISNUMBER(H44),(Serving!$E$23*H42+Serving!$E$24*H44)/(Serving!$E$23+Serving!$E$24),H44)</f>
        <v>0.714434194479228</v>
      </c>
      <c r="I49" s="92" t="n">
        <f aca="false">IF(ISNUMBER(I44),(Serving!$E$23*I42+Serving!$E$24*I44)/(Serving!$E$23+Serving!$E$24),I44)</f>
        <v>0.34780954469246</v>
      </c>
      <c r="J49" s="92" t="n">
        <f aca="false">IF(ISNUMBER(J44),(Serving!$E$23*J42+Serving!$E$24*J44)/(Serving!$E$23+Serving!$E$24),J44)</f>
        <v>0.44921615500303</v>
      </c>
      <c r="K49" s="92" t="n">
        <f aca="false">IF(ISNUMBER(K44),(Serving!$E$23*K42+Serving!$E$24*K44)/(Serving!$E$23+Serving!$E$24),K44)</f>
        <v>0.764812405673305</v>
      </c>
      <c r="L49" s="92" t="n">
        <f aca="false">IF(ISNUMBER(L44),(Serving!$E$23*L42+Serving!$E$24*L44)/(Serving!$E$23+Serving!$E$24),L44)</f>
        <v>0.185899336792178</v>
      </c>
      <c r="M49" s="92" t="n">
        <f aca="false">IF(ISNUMBER(M44),(Serving!$E$23*M42+Serving!$E$24*M44)/(Serving!$E$23+Serving!$E$24),M44)</f>
        <v>0.238928571664784</v>
      </c>
      <c r="N49" s="92" t="n">
        <f aca="false">IF(ISNUMBER(N44),(Serving!$E$23*N42+Serving!$E$24*N44)/(Serving!$E$23+Serving!$E$24),N44)</f>
        <v>0.385996506335294</v>
      </c>
      <c r="O49" s="92" t="n">
        <f aca="false">IF(ISNUMBER(O44),(Serving!$E$23*O42+Serving!$E$24*O44)/(Serving!$E$23+Serving!$E$24),O44)</f>
        <v>0.135785146196456</v>
      </c>
      <c r="P49" s="92" t="n">
        <f aca="false">IF(ISNUMBER(P44),(Serving!$E$23*P42+Serving!$E$24*P44)/(Serving!$E$23+Serving!$E$24),P44)</f>
        <v>0.206374803903739</v>
      </c>
      <c r="Q49" s="92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854</v>
      </c>
    </row>
    <row r="2" customFormat="false" ht="15" hidden="false" customHeight="true" outlineLevel="0" collapsed="false">
      <c r="A2" s="11" t="s">
        <v>855</v>
      </c>
    </row>
    <row r="4" customFormat="false" ht="15" hidden="false" customHeight="true" outlineLevel="0" collapsed="false">
      <c r="A4" s="20" t="s">
        <v>165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78</v>
      </c>
      <c r="D5" s="34" t="s">
        <v>79</v>
      </c>
      <c r="E5" s="34" t="s">
        <v>80</v>
      </c>
      <c r="F5" s="34" t="s">
        <v>78</v>
      </c>
      <c r="G5" s="34" t="s">
        <v>79</v>
      </c>
      <c r="H5" s="34" t="s">
        <v>80</v>
      </c>
      <c r="I5" s="34" t="s">
        <v>78</v>
      </c>
      <c r="J5" s="34" t="s">
        <v>79</v>
      </c>
      <c r="K5" s="34" t="s">
        <v>80</v>
      </c>
      <c r="L5" s="34" t="s">
        <v>78</v>
      </c>
      <c r="M5" s="34" t="s">
        <v>79</v>
      </c>
      <c r="N5" s="34" t="s">
        <v>80</v>
      </c>
      <c r="O5" s="34" t="s">
        <v>78</v>
      </c>
      <c r="P5" s="34" t="s">
        <v>79</v>
      </c>
      <c r="Q5" s="34" t="s">
        <v>80</v>
      </c>
    </row>
    <row r="7" customFormat="false" ht="15" hidden="false" customHeight="true" outlineLevel="0" collapsed="false">
      <c r="A7" s="25" t="s">
        <v>856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857</v>
      </c>
      <c r="B8" s="16" t="s">
        <v>858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92</v>
      </c>
      <c r="B9" s="16" t="s">
        <v>93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859</v>
      </c>
      <c r="B10" s="16" t="s">
        <v>858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730</v>
      </c>
      <c r="B11" s="16" t="s">
        <v>731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860</v>
      </c>
      <c r="B12" s="21" t="s">
        <v>729</v>
      </c>
      <c r="C12" s="126" t="n">
        <f aca="false">FLOOR(C10*1000/C11,1)</f>
        <v>22439</v>
      </c>
      <c r="D12" s="126" t="n">
        <f aca="false">FLOOR(D10*1000/D11,1)</f>
        <v>22439</v>
      </c>
      <c r="E12" s="126" t="n">
        <f aca="false">FLOOR(E10*1000/E11,1)</f>
        <v>22439</v>
      </c>
      <c r="F12" s="126" t="n">
        <f aca="false">FLOOR(F10*1000/F11,1)</f>
        <v>6969</v>
      </c>
      <c r="G12" s="126" t="n">
        <f aca="false">FLOOR(G10*1000/G11,1)</f>
        <v>6969</v>
      </c>
      <c r="H12" s="126" t="n">
        <f aca="false">FLOOR(H10*1000/H11,1)</f>
        <v>6969</v>
      </c>
      <c r="I12" s="126" t="n">
        <f aca="false">FLOOR(I10*1000/I11,1)</f>
        <v>6764</v>
      </c>
      <c r="J12" s="126" t="n">
        <f aca="false">FLOOR(J10*1000/J11,1)</f>
        <v>6764</v>
      </c>
      <c r="K12" s="126" t="n">
        <f aca="false">FLOOR(K10*1000/K11,1)</f>
        <v>6764</v>
      </c>
      <c r="L12" s="126" t="n">
        <f aca="false">FLOOR(L10*1000/L11,1)</f>
        <v>4052</v>
      </c>
      <c r="M12" s="126" t="n">
        <f aca="false">FLOOR(M10*1000/M11,1)</f>
        <v>4052</v>
      </c>
      <c r="N12" s="126" t="n">
        <f aca="false">FLOOR(N10*1000/N11,1)</f>
        <v>4052</v>
      </c>
      <c r="O12" s="126" t="n">
        <f aca="false">FLOOR(O10*1000/O11,1)</f>
        <v>2705</v>
      </c>
      <c r="P12" s="126" t="n">
        <f aca="false">FLOOR(P10*1000/P11,1)</f>
        <v>2705</v>
      </c>
      <c r="Q12" s="126" t="n">
        <f aca="false">FLOOR(Q10*1000/Q11,1)</f>
        <v>2705</v>
      </c>
    </row>
    <row r="13" customFormat="false" ht="15" hidden="false" customHeight="true" outlineLevel="0" collapsed="false">
      <c r="A13" s="15" t="s">
        <v>178</v>
      </c>
      <c r="B13" s="21" t="s">
        <v>723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7" t="s">
        <v>861</v>
      </c>
      <c r="B14" s="21" t="s">
        <v>723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96</v>
      </c>
      <c r="B15" s="16" t="s">
        <v>97</v>
      </c>
      <c r="C15" s="128" t="n">
        <f aca="false">Inputs!D9</f>
        <v>1.1</v>
      </c>
      <c r="D15" s="128" t="n">
        <f aca="false">Inputs!E9</f>
        <v>1.2</v>
      </c>
      <c r="E15" s="128" t="n">
        <f aca="false">Inputs!F9</f>
        <v>1.3</v>
      </c>
      <c r="F15" s="128" t="n">
        <f aca="false">Inputs!D9</f>
        <v>1.1</v>
      </c>
      <c r="G15" s="128" t="n">
        <f aca="false">Inputs!E9</f>
        <v>1.2</v>
      </c>
      <c r="H15" s="128" t="n">
        <f aca="false">Inputs!F9</f>
        <v>1.3</v>
      </c>
      <c r="I15" s="128" t="n">
        <f aca="false">Inputs!D9</f>
        <v>1.1</v>
      </c>
      <c r="J15" s="128" t="n">
        <f aca="false">Inputs!E9</f>
        <v>1.2</v>
      </c>
      <c r="K15" s="128" t="n">
        <f aca="false">Inputs!F9</f>
        <v>1.3</v>
      </c>
      <c r="L15" s="128" t="n">
        <f aca="false">Inputs!D9</f>
        <v>1.1</v>
      </c>
      <c r="M15" s="128" t="n">
        <f aca="false">Inputs!E9</f>
        <v>1.2</v>
      </c>
      <c r="N15" s="128" t="n">
        <f aca="false">Inputs!F9</f>
        <v>1.3</v>
      </c>
      <c r="O15" s="128" t="n">
        <f aca="false">Inputs!D9</f>
        <v>1.1</v>
      </c>
      <c r="P15" s="128" t="n">
        <f aca="false">Inputs!E9</f>
        <v>1.2</v>
      </c>
      <c r="Q15" s="128" t="n">
        <f aca="false">Inputs!F9</f>
        <v>1.3</v>
      </c>
    </row>
    <row r="16" customFormat="false" ht="15" hidden="false" customHeight="true" outlineLevel="0" collapsed="false">
      <c r="A16" s="20" t="s">
        <v>862</v>
      </c>
      <c r="B16" s="16" t="s">
        <v>858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863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864</v>
      </c>
      <c r="B18" s="16" t="s">
        <v>865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866</v>
      </c>
      <c r="B19" s="16" t="s">
        <v>867</v>
      </c>
      <c r="C19" s="129" t="n">
        <f aca="false">C12*C18/1000</f>
        <v>20.1951</v>
      </c>
      <c r="D19" s="129" t="n">
        <f aca="false">D12*D18/1000</f>
        <v>24.6829</v>
      </c>
      <c r="E19" s="129" t="n">
        <f aca="false">E12*E18/1000</f>
        <v>29.1707</v>
      </c>
      <c r="F19" s="129" t="n">
        <f aca="false">F12*F18/1000</f>
        <v>19.5132</v>
      </c>
      <c r="G19" s="129" t="n">
        <f aca="false">G12*G18/1000</f>
        <v>21.6039</v>
      </c>
      <c r="H19" s="129" t="n">
        <f aca="false">H12*H18/1000</f>
        <v>23.6946</v>
      </c>
      <c r="I19" s="129" t="n">
        <f aca="false">I12*I18/1000</f>
        <v>27.056</v>
      </c>
      <c r="J19" s="129" t="n">
        <f aca="false">J12*J18/1000</f>
        <v>29.0852</v>
      </c>
      <c r="K19" s="129" t="n">
        <f aca="false">K12*K18/1000</f>
        <v>33.82</v>
      </c>
      <c r="L19" s="129" t="n">
        <f aca="false">L12*L18/1000</f>
        <v>31.6056</v>
      </c>
      <c r="M19" s="129" t="n">
        <f aca="false">M12*M18/1000</f>
        <v>34.0368</v>
      </c>
      <c r="N19" s="129" t="n">
        <f aca="false">N12*N18/1000</f>
        <v>36.8732</v>
      </c>
      <c r="O19" s="129" t="n">
        <f aca="false">O12*O18/1000</f>
        <v>34.083</v>
      </c>
      <c r="P19" s="129" t="n">
        <f aca="false">P12*P18/1000</f>
        <v>45.444</v>
      </c>
      <c r="Q19" s="129" t="n">
        <f aca="false">Q12*Q18/1000</f>
        <v>56.805</v>
      </c>
    </row>
    <row r="20" customFormat="false" ht="15" hidden="false" customHeight="true" outlineLevel="0" collapsed="false">
      <c r="A20" s="15" t="s">
        <v>107</v>
      </c>
      <c r="B20" s="16" t="s">
        <v>93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868</v>
      </c>
      <c r="B21" s="16" t="s">
        <v>867</v>
      </c>
      <c r="C21" s="129" t="n">
        <f aca="false">C19*C20</f>
        <v>1.009755</v>
      </c>
      <c r="D21" s="129" t="n">
        <f aca="false">D19*D20</f>
        <v>2.46829</v>
      </c>
      <c r="E21" s="129" t="n">
        <f aca="false">E19*E20</f>
        <v>4.375605</v>
      </c>
      <c r="F21" s="129" t="n">
        <f aca="false">F19*F20</f>
        <v>0.97566</v>
      </c>
      <c r="G21" s="129" t="n">
        <f aca="false">G19*G20</f>
        <v>2.16039</v>
      </c>
      <c r="H21" s="129" t="n">
        <f aca="false">H19*H20</f>
        <v>3.55419</v>
      </c>
      <c r="I21" s="129" t="n">
        <f aca="false">I19*I20</f>
        <v>1.3528</v>
      </c>
      <c r="J21" s="129" t="n">
        <f aca="false">J19*J20</f>
        <v>2.90852</v>
      </c>
      <c r="K21" s="129" t="n">
        <f aca="false">K19*K20</f>
        <v>5.073</v>
      </c>
      <c r="L21" s="129" t="n">
        <f aca="false">L19*L20</f>
        <v>1.58028</v>
      </c>
      <c r="M21" s="129" t="n">
        <f aca="false">M19*M20</f>
        <v>3.40368</v>
      </c>
      <c r="N21" s="129" t="n">
        <f aca="false">N19*N20</f>
        <v>5.53098</v>
      </c>
      <c r="O21" s="129" t="n">
        <f aca="false">O19*O20</f>
        <v>1.70415</v>
      </c>
      <c r="P21" s="129" t="n">
        <f aca="false">P19*P20</f>
        <v>4.5444</v>
      </c>
      <c r="Q21" s="129" t="n">
        <f aca="false">Q19*Q20</f>
        <v>8.52075</v>
      </c>
    </row>
    <row r="22" customFormat="false" ht="15" hidden="false" customHeight="true" outlineLevel="0" collapsed="false">
      <c r="A22" s="20" t="s">
        <v>869</v>
      </c>
      <c r="B22" s="16" t="s">
        <v>110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869</v>
      </c>
      <c r="B23" s="16" t="s">
        <v>867</v>
      </c>
      <c r="C23" s="129" t="n">
        <f aca="false">C14*C22/1000000000</f>
        <v>0.2154144</v>
      </c>
      <c r="D23" s="129" t="n">
        <f aca="false">D14*D22/1000000000</f>
        <v>0.359024</v>
      </c>
      <c r="E23" s="129" t="n">
        <f aca="false">E14*E22/1000000000</f>
        <v>0.5744384</v>
      </c>
      <c r="F23" s="129" t="n">
        <f aca="false">F14*F22/1000000000</f>
        <v>0.1505304</v>
      </c>
      <c r="G23" s="129" t="n">
        <f aca="false">G14*G22/1000000000</f>
        <v>0.250884</v>
      </c>
      <c r="H23" s="129" t="n">
        <f aca="false">H14*H22/1000000000</f>
        <v>0.4014144</v>
      </c>
      <c r="I23" s="129" t="n">
        <f aca="false">I14*I22/1000000000</f>
        <v>0.1461024</v>
      </c>
      <c r="J23" s="129" t="n">
        <f aca="false">J14*J22/1000000000</f>
        <v>0.243504</v>
      </c>
      <c r="K23" s="129" t="n">
        <f aca="false">K14*K22/1000000000</f>
        <v>0.3896064</v>
      </c>
      <c r="L23" s="129" t="n">
        <f aca="false">L14*L22/1000000000</f>
        <v>0.0875232</v>
      </c>
      <c r="M23" s="129" t="n">
        <f aca="false">M14*M22/1000000000</f>
        <v>0.145872</v>
      </c>
      <c r="N23" s="129" t="n">
        <f aca="false">N14*N22/1000000000</f>
        <v>0.2333952</v>
      </c>
      <c r="O23" s="129" t="n">
        <f aca="false">O14*O22/1000000000</f>
        <v>0.058428</v>
      </c>
      <c r="P23" s="129" t="n">
        <f aca="false">P14*P22/1000000000</f>
        <v>0.09738</v>
      </c>
      <c r="Q23" s="129" t="n">
        <f aca="false">Q14*Q22/1000000000</f>
        <v>0.155808</v>
      </c>
    </row>
    <row r="24" customFormat="false" ht="15" hidden="false" customHeight="true" outlineLevel="0" collapsed="false">
      <c r="A24" s="15" t="s">
        <v>870</v>
      </c>
      <c r="B24" s="16" t="s">
        <v>867</v>
      </c>
      <c r="C24" s="129" t="n">
        <f aca="false">C19+C21+C23</f>
        <v>21.4202694</v>
      </c>
      <c r="D24" s="129" t="n">
        <f aca="false">D19+D21+D23</f>
        <v>27.510214</v>
      </c>
      <c r="E24" s="129" t="n">
        <f aca="false">E19+E21+E23</f>
        <v>34.1207434</v>
      </c>
      <c r="F24" s="129" t="n">
        <f aca="false">F19+F21+F23</f>
        <v>20.6393904</v>
      </c>
      <c r="G24" s="129" t="n">
        <f aca="false">G19+G21+G23</f>
        <v>24.015174</v>
      </c>
      <c r="H24" s="129" t="n">
        <f aca="false">H19+H21+H23</f>
        <v>27.6502044</v>
      </c>
      <c r="I24" s="129" t="n">
        <f aca="false">I19+I21+I23</f>
        <v>28.5549024</v>
      </c>
      <c r="J24" s="129" t="n">
        <f aca="false">J19+J21+J23</f>
        <v>32.237224</v>
      </c>
      <c r="K24" s="129" t="n">
        <f aca="false">K19+K21+K23</f>
        <v>39.2826064</v>
      </c>
      <c r="L24" s="129" t="n">
        <f aca="false">L19+L21+L23</f>
        <v>33.2734032</v>
      </c>
      <c r="M24" s="129" t="n">
        <f aca="false">M19+M21+M23</f>
        <v>37.586352</v>
      </c>
      <c r="N24" s="129" t="n">
        <f aca="false">N19+N21+N23</f>
        <v>42.6375752</v>
      </c>
      <c r="O24" s="129" t="n">
        <f aca="false">O19+O21+O23</f>
        <v>35.845578</v>
      </c>
      <c r="P24" s="129" t="n">
        <f aca="false">P19+P21+P23</f>
        <v>50.08578</v>
      </c>
      <c r="Q24" s="129" t="n">
        <f aca="false">Q19+Q21+Q23</f>
        <v>65.481558</v>
      </c>
    </row>
    <row r="25" customFormat="false" ht="15" hidden="false" customHeight="true" outlineLevel="0" collapsed="false">
      <c r="A25" s="20" t="s">
        <v>113</v>
      </c>
      <c r="B25" s="16" t="s">
        <v>867</v>
      </c>
      <c r="C25" s="129" t="n">
        <f aca="false">C8*Inputs!D16/1000</f>
        <v>0.02</v>
      </c>
      <c r="D25" s="129" t="n">
        <f aca="false">D8*Inputs!E16/1000</f>
        <v>0.02</v>
      </c>
      <c r="E25" s="129" t="n">
        <f aca="false">E8*Inputs!F16/1000</f>
        <v>0.02</v>
      </c>
      <c r="F25" s="129" t="n">
        <f aca="false">F8*Inputs!D16/1000</f>
        <v>0.02</v>
      </c>
      <c r="G25" s="129" t="n">
        <f aca="false">G8*Inputs!E16/1000</f>
        <v>0.02</v>
      </c>
      <c r="H25" s="129" t="n">
        <f aca="false">H8*Inputs!F16/1000</f>
        <v>0.02</v>
      </c>
      <c r="I25" s="129" t="n">
        <f aca="false">I8*Inputs!D16/1000</f>
        <v>0.02</v>
      </c>
      <c r="J25" s="129" t="n">
        <f aca="false">J8*Inputs!E16/1000</f>
        <v>0.02</v>
      </c>
      <c r="K25" s="129" t="n">
        <f aca="false">K8*Inputs!F16/1000</f>
        <v>0.02</v>
      </c>
      <c r="L25" s="129" t="n">
        <f aca="false">L8*Inputs!D16/1000</f>
        <v>0.02</v>
      </c>
      <c r="M25" s="129" t="n">
        <f aca="false">M8*Inputs!E16/1000</f>
        <v>0.02</v>
      </c>
      <c r="N25" s="129" t="n">
        <f aca="false">N8*Inputs!F16/1000</f>
        <v>0.02</v>
      </c>
      <c r="O25" s="129" t="n">
        <f aca="false">O8*Inputs!D16/1000</f>
        <v>0.02</v>
      </c>
      <c r="P25" s="129" t="n">
        <f aca="false">P8*Inputs!E16/1000</f>
        <v>0.02</v>
      </c>
      <c r="Q25" s="129" t="n">
        <f aca="false">Q8*Inputs!F16/1000</f>
        <v>0.02</v>
      </c>
    </row>
    <row r="26" customFormat="false" ht="15" hidden="false" customHeight="true" outlineLevel="0" collapsed="false">
      <c r="A26" s="20" t="s">
        <v>871</v>
      </c>
      <c r="B26" s="16" t="s">
        <v>867</v>
      </c>
      <c r="C26" s="129" t="n">
        <f aca="false">C8*Inputs!D17/1000</f>
        <v>3</v>
      </c>
      <c r="D26" s="129" t="n">
        <f aca="false">D8*Inputs!E17/1000</f>
        <v>3.6</v>
      </c>
      <c r="E26" s="129" t="n">
        <f aca="false">E8*Inputs!F17/1000</f>
        <v>4.5</v>
      </c>
      <c r="F26" s="129" t="n">
        <f aca="false">F8*Inputs!D17/1000</f>
        <v>3</v>
      </c>
      <c r="G26" s="129" t="n">
        <f aca="false">G8*Inputs!E17/1000</f>
        <v>3.6</v>
      </c>
      <c r="H26" s="129" t="n">
        <f aca="false">H8*Inputs!F17/1000</f>
        <v>4.5</v>
      </c>
      <c r="I26" s="129" t="n">
        <f aca="false">I8*Inputs!D17/1000</f>
        <v>3</v>
      </c>
      <c r="J26" s="129" t="n">
        <f aca="false">J8*Inputs!E17/1000</f>
        <v>3.6</v>
      </c>
      <c r="K26" s="129" t="n">
        <f aca="false">K8*Inputs!F17/1000</f>
        <v>4.5</v>
      </c>
      <c r="L26" s="129" t="n">
        <f aca="false">L8*Inputs!D17/1000</f>
        <v>3</v>
      </c>
      <c r="M26" s="129" t="n">
        <f aca="false">M8*Inputs!E17/1000</f>
        <v>3.6</v>
      </c>
      <c r="N26" s="129" t="n">
        <f aca="false">N8*Inputs!F17/1000</f>
        <v>4.5</v>
      </c>
      <c r="O26" s="129" t="n">
        <f aca="false">O8*Inputs!D17/1000</f>
        <v>3</v>
      </c>
      <c r="P26" s="129" t="n">
        <f aca="false">P8*Inputs!E17/1000</f>
        <v>3.6</v>
      </c>
      <c r="Q26" s="129" t="n">
        <f aca="false">Q8*Inputs!F17/1000</f>
        <v>4.5</v>
      </c>
    </row>
    <row r="27" customFormat="false" ht="15" hidden="false" customHeight="true" outlineLevel="0" collapsed="false">
      <c r="A27" s="20" t="s">
        <v>872</v>
      </c>
      <c r="B27" s="16" t="s">
        <v>867</v>
      </c>
      <c r="C27" s="129" t="n">
        <f aca="false">C8*Inputs!D18/1000</f>
        <v>3.8</v>
      </c>
      <c r="D27" s="129" t="n">
        <f aca="false">D8*Inputs!E18/1000</f>
        <v>4.5</v>
      </c>
      <c r="E27" s="129" t="n">
        <f aca="false">E8*Inputs!F18/1000</f>
        <v>5.5</v>
      </c>
      <c r="F27" s="129" t="n">
        <f aca="false">F8*Inputs!D18/1000</f>
        <v>3.8</v>
      </c>
      <c r="G27" s="129" t="n">
        <f aca="false">G8*Inputs!E18/1000</f>
        <v>4.5</v>
      </c>
      <c r="H27" s="129" t="n">
        <f aca="false">H8*Inputs!F18/1000</f>
        <v>5.5</v>
      </c>
      <c r="I27" s="129" t="n">
        <f aca="false">I8*Inputs!D18/1000</f>
        <v>3.8</v>
      </c>
      <c r="J27" s="129" t="n">
        <f aca="false">J8*Inputs!E18/1000</f>
        <v>4.5</v>
      </c>
      <c r="K27" s="129" t="n">
        <f aca="false">K8*Inputs!F18/1000</f>
        <v>5.5</v>
      </c>
      <c r="L27" s="129" t="n">
        <f aca="false">L8*Inputs!D18/1000</f>
        <v>3.8</v>
      </c>
      <c r="M27" s="129" t="n">
        <f aca="false">M8*Inputs!E18/1000</f>
        <v>4.5</v>
      </c>
      <c r="N27" s="129" t="n">
        <f aca="false">N8*Inputs!F18/1000</f>
        <v>5.5</v>
      </c>
      <c r="O27" s="129" t="n">
        <f aca="false">O8*Inputs!D18/1000</f>
        <v>3.8</v>
      </c>
      <c r="P27" s="129" t="n">
        <f aca="false">P8*Inputs!E18/1000</f>
        <v>4.5</v>
      </c>
      <c r="Q27" s="129" t="n">
        <f aca="false">Q8*Inputs!F18/1000</f>
        <v>5.5</v>
      </c>
    </row>
    <row r="28" customFormat="false" ht="15" hidden="false" customHeight="true" outlineLevel="0" collapsed="false">
      <c r="A28" s="20" t="s">
        <v>873</v>
      </c>
      <c r="B28" s="16" t="s">
        <v>867</v>
      </c>
      <c r="C28" s="129" t="n">
        <f aca="false">C8*Inputs!D19/1000</f>
        <v>2</v>
      </c>
      <c r="D28" s="129" t="n">
        <f aca="false">D8*Inputs!E19/1000</f>
        <v>2.5</v>
      </c>
      <c r="E28" s="129" t="n">
        <f aca="false">E8*Inputs!F19/1000</f>
        <v>3.2</v>
      </c>
      <c r="F28" s="129" t="n">
        <f aca="false">F8*Inputs!D19/1000</f>
        <v>2</v>
      </c>
      <c r="G28" s="129" t="n">
        <f aca="false">G8*Inputs!E19/1000</f>
        <v>2.5</v>
      </c>
      <c r="H28" s="129" t="n">
        <f aca="false">H8*Inputs!F19/1000</f>
        <v>3.2</v>
      </c>
      <c r="I28" s="129" t="n">
        <f aca="false">I8*Inputs!D19/1000</f>
        <v>2</v>
      </c>
      <c r="J28" s="129" t="n">
        <f aca="false">J8*Inputs!E19/1000</f>
        <v>2.5</v>
      </c>
      <c r="K28" s="129" t="n">
        <f aca="false">K8*Inputs!F19/1000</f>
        <v>3.2</v>
      </c>
      <c r="L28" s="129" t="n">
        <f aca="false">L8*Inputs!D19/1000</f>
        <v>2</v>
      </c>
      <c r="M28" s="129" t="n">
        <f aca="false">M8*Inputs!E19/1000</f>
        <v>2.5</v>
      </c>
      <c r="N28" s="129" t="n">
        <f aca="false">N8*Inputs!F19/1000</f>
        <v>3.2</v>
      </c>
      <c r="O28" s="129" t="n">
        <f aca="false">O8*Inputs!D19/1000</f>
        <v>2</v>
      </c>
      <c r="P28" s="129" t="n">
        <f aca="false">P8*Inputs!E19/1000</f>
        <v>2.5</v>
      </c>
      <c r="Q28" s="129" t="n">
        <f aca="false">Q8*Inputs!F19/1000</f>
        <v>3.2</v>
      </c>
    </row>
    <row r="29" customFormat="false" ht="15" hidden="false" customHeight="true" outlineLevel="0" collapsed="false">
      <c r="A29" s="20" t="s">
        <v>874</v>
      </c>
      <c r="B29" s="16" t="s">
        <v>867</v>
      </c>
      <c r="C29" s="129" t="n">
        <f aca="false">C8*Inputs!D20/1000</f>
        <v>0.3</v>
      </c>
      <c r="D29" s="129" t="n">
        <f aca="false">D8*Inputs!E20/1000</f>
        <v>0.4</v>
      </c>
      <c r="E29" s="129" t="n">
        <f aca="false">E8*Inputs!F20/1000</f>
        <v>0.5</v>
      </c>
      <c r="F29" s="129" t="n">
        <f aca="false">F8*Inputs!D20/1000</f>
        <v>0.3</v>
      </c>
      <c r="G29" s="129" t="n">
        <f aca="false">G8*Inputs!E20/1000</f>
        <v>0.4</v>
      </c>
      <c r="H29" s="129" t="n">
        <f aca="false">H8*Inputs!F20/1000</f>
        <v>0.5</v>
      </c>
      <c r="I29" s="129" t="n">
        <f aca="false">I8*Inputs!D20/1000</f>
        <v>0.3</v>
      </c>
      <c r="J29" s="129" t="n">
        <f aca="false">J8*Inputs!E20/1000</f>
        <v>0.4</v>
      </c>
      <c r="K29" s="129" t="n">
        <f aca="false">K8*Inputs!F20/1000</f>
        <v>0.5</v>
      </c>
      <c r="L29" s="129" t="n">
        <f aca="false">L8*Inputs!D20/1000</f>
        <v>0.3</v>
      </c>
      <c r="M29" s="129" t="n">
        <f aca="false">M8*Inputs!E20/1000</f>
        <v>0.4</v>
      </c>
      <c r="N29" s="129" t="n">
        <f aca="false">N8*Inputs!F20/1000</f>
        <v>0.5</v>
      </c>
      <c r="O29" s="129" t="n">
        <f aca="false">O8*Inputs!D20/1000</f>
        <v>0.3</v>
      </c>
      <c r="P29" s="129" t="n">
        <f aca="false">P8*Inputs!E20/1000</f>
        <v>0.4</v>
      </c>
      <c r="Q29" s="129" t="n">
        <f aca="false">Q8*Inputs!F20/1000</f>
        <v>0.5</v>
      </c>
    </row>
    <row r="30" customFormat="false" ht="15" hidden="false" customHeight="true" outlineLevel="0" collapsed="false">
      <c r="A30" s="20" t="s">
        <v>875</v>
      </c>
      <c r="B30" s="16" t="s">
        <v>93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123</v>
      </c>
      <c r="B31" s="16" t="s">
        <v>867</v>
      </c>
      <c r="C31" s="129" t="n">
        <f aca="false">(C26+C27+C28+C29)*C30</f>
        <v>1.092</v>
      </c>
      <c r="D31" s="129" t="n">
        <f aca="false">(D26+D27+D28+D29)*D30</f>
        <v>1.65</v>
      </c>
      <c r="E31" s="129" t="n">
        <f aca="false">(E26+E27+E28+E29)*E30</f>
        <v>2.466</v>
      </c>
      <c r="F31" s="129" t="n">
        <f aca="false">(F26+F27+F28+F29)*F30</f>
        <v>1.092</v>
      </c>
      <c r="G31" s="129" t="n">
        <f aca="false">(G26+G27+G28+G29)*G30</f>
        <v>1.65</v>
      </c>
      <c r="H31" s="129" t="n">
        <f aca="false">(H26+H27+H28+H29)*H30</f>
        <v>2.466</v>
      </c>
      <c r="I31" s="129" t="n">
        <f aca="false">(I26+I27+I28+I29)*I30</f>
        <v>1.092</v>
      </c>
      <c r="J31" s="129" t="n">
        <f aca="false">(J26+J27+J28+J29)*J30</f>
        <v>1.65</v>
      </c>
      <c r="K31" s="129" t="n">
        <f aca="false">(K26+K27+K28+K29)*K30</f>
        <v>2.466</v>
      </c>
      <c r="L31" s="129" t="n">
        <f aca="false">(L26+L27+L28+L29)*L30</f>
        <v>1.092</v>
      </c>
      <c r="M31" s="129" t="n">
        <f aca="false">(M26+M27+M28+M29)*M30</f>
        <v>1.65</v>
      </c>
      <c r="N31" s="129" t="n">
        <f aca="false">(N26+N27+N28+N29)*N30</f>
        <v>2.466</v>
      </c>
      <c r="O31" s="129" t="n">
        <f aca="false">(O26+O27+O28+O29)*O30</f>
        <v>1.092</v>
      </c>
      <c r="P31" s="129" t="n">
        <f aca="false">(P26+P27+P28+P29)*P30</f>
        <v>1.65</v>
      </c>
      <c r="Q31" s="129" t="n">
        <f aca="false">(Q26+Q27+Q28+Q29)*Q30</f>
        <v>2.466</v>
      </c>
    </row>
    <row r="32" customFormat="false" ht="15" hidden="false" customHeight="true" outlineLevel="0" collapsed="false">
      <c r="A32" s="20" t="s">
        <v>876</v>
      </c>
      <c r="B32" s="16" t="s">
        <v>867</v>
      </c>
      <c r="C32" s="129" t="n">
        <f aca="false">C25+C26+C27+C28+C29+C31</f>
        <v>10.212</v>
      </c>
      <c r="D32" s="129" t="n">
        <f aca="false">D25+D26+D27+D28+D29+D31</f>
        <v>12.67</v>
      </c>
      <c r="E32" s="129" t="n">
        <f aca="false">E25+E26+E27+E28+E29+E31</f>
        <v>16.186</v>
      </c>
      <c r="F32" s="129" t="n">
        <f aca="false">F25+F26+F27+F28+F29+F31</f>
        <v>10.212</v>
      </c>
      <c r="G32" s="129" t="n">
        <f aca="false">G25+G26+G27+G28+G29+G31</f>
        <v>12.67</v>
      </c>
      <c r="H32" s="129" t="n">
        <f aca="false">H25+H26+H27+H28+H29+H31</f>
        <v>16.186</v>
      </c>
      <c r="I32" s="129" t="n">
        <f aca="false">I25+I26+I27+I28+I29+I31</f>
        <v>10.212</v>
      </c>
      <c r="J32" s="129" t="n">
        <f aca="false">J25+J26+J27+J28+J29+J31</f>
        <v>12.67</v>
      </c>
      <c r="K32" s="129" t="n">
        <f aca="false">K25+K26+K27+K28+K29+K31</f>
        <v>16.186</v>
      </c>
      <c r="L32" s="129" t="n">
        <f aca="false">L25+L26+L27+L28+L29+L31</f>
        <v>10.212</v>
      </c>
      <c r="M32" s="129" t="n">
        <f aca="false">M25+M26+M27+M28+M29+M31</f>
        <v>12.67</v>
      </c>
      <c r="N32" s="129" t="n">
        <f aca="false">N25+N26+N27+N28+N29+N31</f>
        <v>16.186</v>
      </c>
      <c r="O32" s="129" t="n">
        <f aca="false">O25+O26+O27+O28+O29+O31</f>
        <v>10.212</v>
      </c>
      <c r="P32" s="129" t="n">
        <f aca="false">P25+P26+P27+P28+P29+P31</f>
        <v>12.67</v>
      </c>
      <c r="Q32" s="129" t="n">
        <f aca="false">Q25+Q26+Q27+Q28+Q29+Q31</f>
        <v>16.186</v>
      </c>
    </row>
    <row r="33" customFormat="false" ht="15" hidden="false" customHeight="true" outlineLevel="0" collapsed="false">
      <c r="A33" s="20" t="s">
        <v>877</v>
      </c>
      <c r="B33" s="16" t="s">
        <v>867</v>
      </c>
      <c r="C33" s="130" t="n">
        <f aca="false">C24+C32</f>
        <v>31.6322694</v>
      </c>
      <c r="D33" s="130" t="n">
        <f aca="false">D24+D32</f>
        <v>40.180214</v>
      </c>
      <c r="E33" s="130" t="n">
        <f aca="false">E24+E32</f>
        <v>50.3067434</v>
      </c>
      <c r="F33" s="130" t="n">
        <f aca="false">F24+F32</f>
        <v>30.8513904</v>
      </c>
      <c r="G33" s="130" t="n">
        <f aca="false">G24+G32</f>
        <v>36.685174</v>
      </c>
      <c r="H33" s="130" t="n">
        <f aca="false">H24+H32</f>
        <v>43.8362044</v>
      </c>
      <c r="I33" s="130" t="n">
        <f aca="false">I24+I32</f>
        <v>38.7669024</v>
      </c>
      <c r="J33" s="130" t="n">
        <f aca="false">J24+J32</f>
        <v>44.907224</v>
      </c>
      <c r="K33" s="130" t="n">
        <f aca="false">K24+K32</f>
        <v>55.4686064</v>
      </c>
      <c r="L33" s="130" t="n">
        <f aca="false">L24+L32</f>
        <v>43.4854032</v>
      </c>
      <c r="M33" s="130" t="n">
        <f aca="false">M24+M32</f>
        <v>50.256352</v>
      </c>
      <c r="N33" s="130" t="n">
        <f aca="false">N24+N32</f>
        <v>58.8235752</v>
      </c>
      <c r="O33" s="130" t="n">
        <f aca="false">O24+O32</f>
        <v>46.057578</v>
      </c>
      <c r="P33" s="130" t="n">
        <f aca="false">P24+P32</f>
        <v>62.75578</v>
      </c>
      <c r="Q33" s="130" t="n">
        <f aca="false">Q24+Q32</f>
        <v>81.667558</v>
      </c>
    </row>
    <row r="34" customFormat="false" ht="15" hidden="false" customHeight="true" outlineLevel="0" collapsed="false">
      <c r="A34" s="20" t="s">
        <v>878</v>
      </c>
      <c r="B34" s="16" t="s">
        <v>879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880</v>
      </c>
      <c r="B35" s="16" t="s">
        <v>865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881</v>
      </c>
      <c r="B36" s="16" t="s">
        <v>865</v>
      </c>
      <c r="C36" s="129" t="n">
        <f aca="false">C32*1000/C8</f>
        <v>10.212</v>
      </c>
      <c r="D36" s="129" t="n">
        <f aca="false">D32*1000/D8</f>
        <v>12.67</v>
      </c>
      <c r="E36" s="129" t="n">
        <f aca="false">E32*1000/E8</f>
        <v>16.186</v>
      </c>
      <c r="F36" s="129" t="n">
        <f aca="false">F32*1000/F8</f>
        <v>10.212</v>
      </c>
      <c r="G36" s="129" t="n">
        <f aca="false">G32*1000/G8</f>
        <v>12.67</v>
      </c>
      <c r="H36" s="129" t="n">
        <f aca="false">H32*1000/H8</f>
        <v>16.186</v>
      </c>
      <c r="I36" s="129" t="n">
        <f aca="false">I32*1000/I8</f>
        <v>10.212</v>
      </c>
      <c r="J36" s="129" t="n">
        <f aca="false">J32*1000/J8</f>
        <v>12.67</v>
      </c>
      <c r="K36" s="129" t="n">
        <f aca="false">K32*1000/K8</f>
        <v>16.186</v>
      </c>
      <c r="L36" s="129" t="n">
        <f aca="false">L32*1000/L8</f>
        <v>10.212</v>
      </c>
      <c r="M36" s="129" t="n">
        <f aca="false">M32*1000/M8</f>
        <v>12.67</v>
      </c>
      <c r="N36" s="129" t="n">
        <f aca="false">N32*1000/N8</f>
        <v>16.186</v>
      </c>
      <c r="O36" s="129" t="n">
        <f aca="false">O32*1000/O8</f>
        <v>10.212</v>
      </c>
      <c r="P36" s="129" t="n">
        <f aca="false">P32*1000/P8</f>
        <v>12.67</v>
      </c>
      <c r="Q36" s="129" t="n">
        <f aca="false">Q32*1000/Q8</f>
        <v>16.186</v>
      </c>
    </row>
    <row r="37" customFormat="false" ht="15" hidden="false" customHeight="true" outlineLevel="0" collapsed="false">
      <c r="A37" s="25" t="s">
        <v>882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883</v>
      </c>
      <c r="B38" s="21" t="s">
        <v>128</v>
      </c>
      <c r="C38" s="131" t="n">
        <f aca="false">Inputs!D23</f>
        <v>6</v>
      </c>
      <c r="D38" s="131" t="n">
        <f aca="false">Inputs!E23</f>
        <v>6</v>
      </c>
      <c r="E38" s="131" t="n">
        <f aca="false">Inputs!F23</f>
        <v>4</v>
      </c>
      <c r="F38" s="131" t="n">
        <f aca="false">Inputs!D23</f>
        <v>6</v>
      </c>
      <c r="G38" s="131" t="n">
        <f aca="false">Inputs!E23</f>
        <v>6</v>
      </c>
      <c r="H38" s="131" t="n">
        <f aca="false">Inputs!F23</f>
        <v>4</v>
      </c>
      <c r="I38" s="131" t="n">
        <f aca="false">Inputs!D23</f>
        <v>6</v>
      </c>
      <c r="J38" s="131" t="n">
        <f aca="false">Inputs!E23</f>
        <v>6</v>
      </c>
      <c r="K38" s="131" t="n">
        <f aca="false">Inputs!F23</f>
        <v>4</v>
      </c>
      <c r="L38" s="131" t="n">
        <f aca="false">Inputs!D23</f>
        <v>6</v>
      </c>
      <c r="M38" s="131" t="n">
        <f aca="false">Inputs!E23</f>
        <v>6</v>
      </c>
      <c r="N38" s="131" t="n">
        <f aca="false">Inputs!F23</f>
        <v>4</v>
      </c>
      <c r="O38" s="131" t="n">
        <f aca="false">Inputs!D23</f>
        <v>6</v>
      </c>
      <c r="P38" s="131" t="n">
        <f aca="false">Inputs!E23</f>
        <v>6</v>
      </c>
      <c r="Q38" s="131" t="n">
        <f aca="false">Inputs!F23</f>
        <v>4</v>
      </c>
    </row>
    <row r="39" customFormat="false" ht="15" hidden="false" customHeight="true" outlineLevel="0" collapsed="false">
      <c r="A39" s="15" t="s">
        <v>884</v>
      </c>
      <c r="B39" s="16" t="s">
        <v>867</v>
      </c>
      <c r="C39" s="129" t="n">
        <f aca="false">C24/C38</f>
        <v>3.5700449</v>
      </c>
      <c r="D39" s="129" t="n">
        <f aca="false">D24/D38</f>
        <v>4.58503566666667</v>
      </c>
      <c r="E39" s="129" t="n">
        <f aca="false">E24/E38</f>
        <v>8.53018585</v>
      </c>
      <c r="F39" s="129" t="n">
        <f aca="false">F24/F38</f>
        <v>3.4398984</v>
      </c>
      <c r="G39" s="129" t="n">
        <f aca="false">G24/G38</f>
        <v>4.002529</v>
      </c>
      <c r="H39" s="129" t="n">
        <f aca="false">H24/H38</f>
        <v>6.9125511</v>
      </c>
      <c r="I39" s="129" t="n">
        <f aca="false">I24/I38</f>
        <v>4.7591504</v>
      </c>
      <c r="J39" s="129" t="n">
        <f aca="false">J24/J38</f>
        <v>5.37287066666667</v>
      </c>
      <c r="K39" s="129" t="n">
        <f aca="false">K24/K38</f>
        <v>9.8206516</v>
      </c>
      <c r="L39" s="129" t="n">
        <f aca="false">L24/L38</f>
        <v>5.5455672</v>
      </c>
      <c r="M39" s="129" t="n">
        <f aca="false">M24/M38</f>
        <v>6.264392</v>
      </c>
      <c r="N39" s="129" t="n">
        <f aca="false">N24/N38</f>
        <v>10.6593938</v>
      </c>
      <c r="O39" s="129" t="n">
        <f aca="false">O24/O38</f>
        <v>5.974263</v>
      </c>
      <c r="P39" s="129" t="n">
        <f aca="false">P24/P38</f>
        <v>8.34763</v>
      </c>
      <c r="Q39" s="129" t="n">
        <f aca="false">Q24/Q38</f>
        <v>16.3703895</v>
      </c>
    </row>
    <row r="40" customFormat="false" ht="15" hidden="false" customHeight="true" outlineLevel="0" collapsed="false">
      <c r="A40" s="20" t="s">
        <v>885</v>
      </c>
      <c r="B40" s="16" t="s">
        <v>867</v>
      </c>
      <c r="C40" s="129" t="n">
        <f aca="false">(C26/Inputs!D24+C27/Inputs!D25+C28/Inputs!D26+C29/Inputs!D27)*(1+C30)</f>
        <v>0.507733333333333</v>
      </c>
      <c r="D40" s="129" t="n">
        <f aca="false">(D26/Inputs!E24+D27/Inputs!E25+D28/Inputs!E26+D29/Inputs!E27)*(1+D30)</f>
        <v>0.634416666666667</v>
      </c>
      <c r="E40" s="129" t="n">
        <f aca="false">(E26/Inputs!F24+E27/Inputs!F25+E28/Inputs!F26+E29/Inputs!F27)*(1+E30)</f>
        <v>0.812233333333334</v>
      </c>
      <c r="F40" s="129" t="n">
        <f aca="false">(F26/Inputs!D24+F27/Inputs!D25+F28/Inputs!D26+F29/Inputs!D27)*(1+F30)</f>
        <v>0.507733333333333</v>
      </c>
      <c r="G40" s="129" t="n">
        <f aca="false">(G26/Inputs!E24+G27/Inputs!E25+G28/Inputs!E26+G29/Inputs!E27)*(1+G30)</f>
        <v>0.634416666666667</v>
      </c>
      <c r="H40" s="129" t="n">
        <f aca="false">(H26/Inputs!F24+H27/Inputs!F25+H28/Inputs!F26+H29/Inputs!F27)*(1+H30)</f>
        <v>0.812233333333334</v>
      </c>
      <c r="I40" s="129" t="n">
        <f aca="false">(I26/Inputs!D24+I27/Inputs!D25+I28/Inputs!D26+I29/Inputs!D27)*(1+I30)</f>
        <v>0.507733333333333</v>
      </c>
      <c r="J40" s="129" t="n">
        <f aca="false">(J26/Inputs!E24+J27/Inputs!E25+J28/Inputs!E26+J29/Inputs!E27)*(1+J30)</f>
        <v>0.634416666666667</v>
      </c>
      <c r="K40" s="129" t="n">
        <f aca="false">(K26/Inputs!F24+K27/Inputs!F25+K28/Inputs!F26+K29/Inputs!F27)*(1+K30)</f>
        <v>0.812233333333334</v>
      </c>
      <c r="L40" s="129" t="n">
        <f aca="false">(L26/Inputs!D24+L27/Inputs!D25+L28/Inputs!D26+L29/Inputs!D27)*(1+L30)</f>
        <v>0.507733333333333</v>
      </c>
      <c r="M40" s="129" t="n">
        <f aca="false">(M26/Inputs!E24+M27/Inputs!E25+M28/Inputs!E26+M29/Inputs!E27)*(1+M30)</f>
        <v>0.634416666666667</v>
      </c>
      <c r="N40" s="129" t="n">
        <f aca="false">(N26/Inputs!F24+N27/Inputs!F25+N28/Inputs!F26+N29/Inputs!F27)*(1+N30)</f>
        <v>0.812233333333334</v>
      </c>
      <c r="O40" s="129" t="n">
        <f aca="false">(O26/Inputs!D24+O27/Inputs!D25+O28/Inputs!D26+O29/Inputs!D27)*(1+O30)</f>
        <v>0.507733333333333</v>
      </c>
      <c r="P40" s="129" t="n">
        <f aca="false">(P26/Inputs!E24+P27/Inputs!E25+P28/Inputs!E26+P29/Inputs!E27)*(1+P30)</f>
        <v>0.634416666666667</v>
      </c>
      <c r="Q40" s="129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100</v>
      </c>
      <c r="B41" s="16" t="s">
        <v>93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102</v>
      </c>
      <c r="B42" s="16" t="s">
        <v>103</v>
      </c>
      <c r="C42" s="132" t="n">
        <f aca="false">Inputs!D11</f>
        <v>0.06</v>
      </c>
      <c r="D42" s="132" t="n">
        <f aca="false">Inputs!E11</f>
        <v>0.08</v>
      </c>
      <c r="E42" s="132" t="n">
        <f aca="false">Inputs!F11</f>
        <v>0.1</v>
      </c>
      <c r="F42" s="132" t="n">
        <f aca="false">Inputs!D11</f>
        <v>0.06</v>
      </c>
      <c r="G42" s="132" t="n">
        <f aca="false">Inputs!E11</f>
        <v>0.08</v>
      </c>
      <c r="H42" s="132" t="n">
        <f aca="false">Inputs!F11</f>
        <v>0.1</v>
      </c>
      <c r="I42" s="132" t="n">
        <f aca="false">Inputs!D11</f>
        <v>0.06</v>
      </c>
      <c r="J42" s="132" t="n">
        <f aca="false">Inputs!E11</f>
        <v>0.08</v>
      </c>
      <c r="K42" s="132" t="n">
        <f aca="false">Inputs!F11</f>
        <v>0.1</v>
      </c>
      <c r="L42" s="132" t="n">
        <f aca="false">Inputs!D11</f>
        <v>0.06</v>
      </c>
      <c r="M42" s="132" t="n">
        <f aca="false">Inputs!E11</f>
        <v>0.08</v>
      </c>
      <c r="N42" s="132" t="n">
        <f aca="false">Inputs!F11</f>
        <v>0.1</v>
      </c>
      <c r="O42" s="132" t="n">
        <f aca="false">Inputs!D11</f>
        <v>0.06</v>
      </c>
      <c r="P42" s="132" t="n">
        <f aca="false">Inputs!E11</f>
        <v>0.08</v>
      </c>
      <c r="Q42" s="132" t="n">
        <f aca="false">Inputs!F11</f>
        <v>0.1</v>
      </c>
    </row>
    <row r="43" customFormat="false" ht="15" hidden="false" customHeight="true" outlineLevel="0" collapsed="false">
      <c r="A43" s="20" t="s">
        <v>886</v>
      </c>
      <c r="B43" s="16" t="s">
        <v>867</v>
      </c>
      <c r="C43" s="129" t="n">
        <f aca="false">C8*1000*C41*C15*8760*C42/1000000000</f>
        <v>0.404712</v>
      </c>
      <c r="D43" s="129" t="n">
        <f aca="false">D8*1000*D41*D15*8760*D42/1000000000</f>
        <v>0.672768</v>
      </c>
      <c r="E43" s="129" t="n">
        <f aca="false">E8*1000*E41*E15*8760*E42/1000000000</f>
        <v>1.02492</v>
      </c>
      <c r="F43" s="129" t="n">
        <f aca="false">F8*1000*F41*F15*8760*F42/1000000000</f>
        <v>0.404712</v>
      </c>
      <c r="G43" s="129" t="n">
        <f aca="false">G8*1000*G41*G15*8760*G42/1000000000</f>
        <v>0.672768</v>
      </c>
      <c r="H43" s="129" t="n">
        <f aca="false">H8*1000*H41*H15*8760*H42/1000000000</f>
        <v>1.02492</v>
      </c>
      <c r="I43" s="129" t="n">
        <f aca="false">I8*1000*I41*I15*8760*I42/1000000000</f>
        <v>0.404712</v>
      </c>
      <c r="J43" s="129" t="n">
        <f aca="false">J8*1000*J41*J15*8760*J42/1000000000</f>
        <v>0.672768</v>
      </c>
      <c r="K43" s="129" t="n">
        <f aca="false">K8*1000*K41*K15*8760*K42/1000000000</f>
        <v>1.02492</v>
      </c>
      <c r="L43" s="129" t="n">
        <f aca="false">L8*1000*L41*L15*8760*L42/1000000000</f>
        <v>0.404712</v>
      </c>
      <c r="M43" s="129" t="n">
        <f aca="false">M8*1000*M41*M15*8760*M42/1000000000</f>
        <v>0.672768</v>
      </c>
      <c r="N43" s="129" t="n">
        <f aca="false">N8*1000*N41*N15*8760*N42/1000000000</f>
        <v>1.02492</v>
      </c>
      <c r="O43" s="129" t="n">
        <f aca="false">O8*1000*O41*O15*8760*O42/1000000000</f>
        <v>0.404712</v>
      </c>
      <c r="P43" s="129" t="n">
        <f aca="false">P8*1000*P41*P15*8760*P42/1000000000</f>
        <v>0.672768</v>
      </c>
      <c r="Q43" s="129" t="n">
        <f aca="false">Q8*1000*Q41*Q15*8760*Q42/1000000000</f>
        <v>1.02492</v>
      </c>
    </row>
    <row r="44" customFormat="false" ht="15" hidden="false" customHeight="true" outlineLevel="0" collapsed="false">
      <c r="A44" s="15" t="s">
        <v>887</v>
      </c>
      <c r="B44" s="16" t="s">
        <v>867</v>
      </c>
      <c r="C44" s="129" t="n">
        <f aca="false">C24*Inputs!D30</f>
        <v>0.219436730882534</v>
      </c>
      <c r="D44" s="129" t="n">
        <f aca="false">D24*Inputs!E30</f>
        <v>0.43259841019734</v>
      </c>
      <c r="E44" s="129" t="n">
        <f aca="false">E24*Inputs!F30</f>
        <v>0.6226274060112</v>
      </c>
      <c r="F44" s="129" t="n">
        <f aca="false">F24*Inputs!D30</f>
        <v>0.211437133315623</v>
      </c>
      <c r="G44" s="129" t="n">
        <f aca="false">G24*Inputs!E30</f>
        <v>0.377638868712999</v>
      </c>
      <c r="H44" s="129" t="n">
        <f aca="false">H24*Inputs!F30</f>
        <v>0.504554512175472</v>
      </c>
      <c r="I44" s="129" t="n">
        <f aca="false">I24*Inputs!D30</f>
        <v>0.292526406475813</v>
      </c>
      <c r="J44" s="129" t="n">
        <f aca="false">J24*Inputs!E30</f>
        <v>0.506930693144573</v>
      </c>
      <c r="K44" s="129" t="n">
        <f aca="false">K24*Inputs!F30</f>
        <v>0.716819883947515</v>
      </c>
      <c r="L44" s="129" t="n">
        <f aca="false">L24*Inputs!D30</f>
        <v>0.340864378836638</v>
      </c>
      <c r="M44" s="129" t="n">
        <f aca="false">M24*Inputs!E30</f>
        <v>0.591045788314028</v>
      </c>
      <c r="N44" s="129" t="n">
        <f aca="false">N24*Inputs!F30</f>
        <v>0.778040575909124</v>
      </c>
      <c r="O44" s="129" t="n">
        <f aca="false">O24*Inputs!D30</f>
        <v>0.367214637035091</v>
      </c>
      <c r="P44" s="129" t="n">
        <f aca="false">P24*Inputs!E30</f>
        <v>0.787599427670528</v>
      </c>
      <c r="Q44" s="129" t="n">
        <f aca="false">Q24*Inputs!F30</f>
        <v>1.19489227186978</v>
      </c>
    </row>
    <row r="45" customFormat="false" ht="15" hidden="false" customHeight="true" outlineLevel="0" collapsed="false">
      <c r="A45" s="20" t="s">
        <v>143</v>
      </c>
      <c r="B45" s="16" t="s">
        <v>867</v>
      </c>
      <c r="C45" s="129" t="n">
        <f aca="false">C32*Inputs!D31</f>
        <v>0.15318</v>
      </c>
      <c r="D45" s="129" t="n">
        <f aca="false">D32*Inputs!E31</f>
        <v>0.2534</v>
      </c>
      <c r="E45" s="129" t="n">
        <f aca="false">E32*Inputs!F31</f>
        <v>0.40465</v>
      </c>
      <c r="F45" s="129" t="n">
        <f aca="false">F32*Inputs!D31</f>
        <v>0.15318</v>
      </c>
      <c r="G45" s="129" t="n">
        <f aca="false">G32*Inputs!E31</f>
        <v>0.2534</v>
      </c>
      <c r="H45" s="129" t="n">
        <f aca="false">H32*Inputs!F31</f>
        <v>0.40465</v>
      </c>
      <c r="I45" s="129" t="n">
        <f aca="false">I32*Inputs!D31</f>
        <v>0.15318</v>
      </c>
      <c r="J45" s="129" t="n">
        <f aca="false">J32*Inputs!E31</f>
        <v>0.2534</v>
      </c>
      <c r="K45" s="129" t="n">
        <f aca="false">K32*Inputs!F31</f>
        <v>0.40465</v>
      </c>
      <c r="L45" s="129" t="n">
        <f aca="false">L32*Inputs!D31</f>
        <v>0.15318</v>
      </c>
      <c r="M45" s="129" t="n">
        <f aca="false">M32*Inputs!E31</f>
        <v>0.2534</v>
      </c>
      <c r="N45" s="129" t="n">
        <f aca="false">N32*Inputs!F31</f>
        <v>0.40465</v>
      </c>
      <c r="O45" s="129" t="n">
        <f aca="false">O32*Inputs!D31</f>
        <v>0.15318</v>
      </c>
      <c r="P45" s="129" t="n">
        <f aca="false">P32*Inputs!E31</f>
        <v>0.2534</v>
      </c>
      <c r="Q45" s="129" t="n">
        <f aca="false">Q32*Inputs!F31</f>
        <v>0.40465</v>
      </c>
    </row>
    <row r="46" customFormat="false" ht="15" hidden="false" customHeight="true" outlineLevel="0" collapsed="false">
      <c r="A46" s="20" t="s">
        <v>888</v>
      </c>
      <c r="B46" s="16" t="s">
        <v>867</v>
      </c>
      <c r="C46" s="129" t="n">
        <f aca="false">(Inputs!D32*C8/1000+Inputs!D33*C8/1000+Inputs!D34*C8)/1000</f>
        <v>0.24</v>
      </c>
      <c r="D46" s="129" t="n">
        <f aca="false">(Inputs!E32*D8/1000+Inputs!E33*D8/1000+Inputs!E34*D8)/1000</f>
        <v>0.325</v>
      </c>
      <c r="E46" s="129" t="n">
        <f aca="false">(Inputs!F32*E8/1000+Inputs!F33*E8/1000+Inputs!F34*E8)/1000</f>
        <v>0.41</v>
      </c>
      <c r="F46" s="129" t="n">
        <f aca="false">(Inputs!D32*F8/1000+Inputs!D33*F8/1000+Inputs!D34*F8)/1000</f>
        <v>0.24</v>
      </c>
      <c r="G46" s="129" t="n">
        <f aca="false">(Inputs!E32*G8/1000+Inputs!E33*G8/1000+Inputs!E34*G8)/1000</f>
        <v>0.325</v>
      </c>
      <c r="H46" s="129" t="n">
        <f aca="false">(Inputs!F32*H8/1000+Inputs!F33*H8/1000+Inputs!F34*H8)/1000</f>
        <v>0.41</v>
      </c>
      <c r="I46" s="129" t="n">
        <f aca="false">(Inputs!D32*I8/1000+Inputs!D33*I8/1000+Inputs!D34*I8)/1000</f>
        <v>0.24</v>
      </c>
      <c r="J46" s="129" t="n">
        <f aca="false">(Inputs!E32*J8/1000+Inputs!E33*J8/1000+Inputs!E34*J8)/1000</f>
        <v>0.325</v>
      </c>
      <c r="K46" s="129" t="n">
        <f aca="false">(Inputs!F32*K8/1000+Inputs!F33*K8/1000+Inputs!F34*K8)/1000</f>
        <v>0.41</v>
      </c>
      <c r="L46" s="129" t="n">
        <f aca="false">(Inputs!D32*L8/1000+Inputs!D33*L8/1000+Inputs!D34*L8)/1000</f>
        <v>0.24</v>
      </c>
      <c r="M46" s="129" t="n">
        <f aca="false">(Inputs!E32*M8/1000+Inputs!E33*M8/1000+Inputs!E34*M8)/1000</f>
        <v>0.325</v>
      </c>
      <c r="N46" s="129" t="n">
        <f aca="false">(Inputs!F32*N8/1000+Inputs!F33*N8/1000+Inputs!F34*N8)/1000</f>
        <v>0.41</v>
      </c>
      <c r="O46" s="129" t="n">
        <f aca="false">(Inputs!D32*O8/1000+Inputs!D33*O8/1000+Inputs!D34*O8)/1000</f>
        <v>0.24</v>
      </c>
      <c r="P46" s="129" t="n">
        <f aca="false">(Inputs!E32*P8/1000+Inputs!E33*P8/1000+Inputs!E34*P8)/1000</f>
        <v>0.325</v>
      </c>
      <c r="Q46" s="129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154</v>
      </c>
      <c r="B47" s="16" t="s">
        <v>867</v>
      </c>
      <c r="C47" s="129" t="n">
        <f aca="false">C33*Inputs!D35</f>
        <v>0.0948968082</v>
      </c>
      <c r="D47" s="129" t="n">
        <f aca="false">D33*Inputs!E35</f>
        <v>0.20090107</v>
      </c>
      <c r="E47" s="129" t="n">
        <f aca="false">E33*Inputs!F35</f>
        <v>0.4024539472</v>
      </c>
      <c r="F47" s="129" t="n">
        <f aca="false">F33*Inputs!D35</f>
        <v>0.0925541712</v>
      </c>
      <c r="G47" s="129" t="n">
        <f aca="false">G33*Inputs!E35</f>
        <v>0.18342587</v>
      </c>
      <c r="H47" s="129" t="n">
        <f aca="false">H33*Inputs!F35</f>
        <v>0.3506896352</v>
      </c>
      <c r="I47" s="129" t="n">
        <f aca="false">I33*Inputs!D35</f>
        <v>0.1163007072</v>
      </c>
      <c r="J47" s="129" t="n">
        <f aca="false">J33*Inputs!E35</f>
        <v>0.22453612</v>
      </c>
      <c r="K47" s="129" t="n">
        <f aca="false">K33*Inputs!F35</f>
        <v>0.4437488512</v>
      </c>
      <c r="L47" s="129" t="n">
        <f aca="false">L33*Inputs!D35</f>
        <v>0.1304562096</v>
      </c>
      <c r="M47" s="129" t="n">
        <f aca="false">M33*Inputs!E35</f>
        <v>0.25128176</v>
      </c>
      <c r="N47" s="129" t="n">
        <f aca="false">N33*Inputs!F35</f>
        <v>0.4705886016</v>
      </c>
      <c r="O47" s="129" t="n">
        <f aca="false">O33*Inputs!D35</f>
        <v>0.138172734</v>
      </c>
      <c r="P47" s="129" t="n">
        <f aca="false">P33*Inputs!E35</f>
        <v>0.3137789</v>
      </c>
      <c r="Q47" s="129" t="n">
        <f aca="false">Q33*Inputs!F35</f>
        <v>0.653340464</v>
      </c>
    </row>
    <row r="48" customFormat="false" ht="15" hidden="false" customHeight="true" outlineLevel="0" collapsed="false">
      <c r="A48" s="20" t="s">
        <v>889</v>
      </c>
      <c r="B48" s="16" t="s">
        <v>867</v>
      </c>
      <c r="C48" s="129" t="n">
        <f aca="false">C43+C44+C45+C46+C47</f>
        <v>1.11222553908253</v>
      </c>
      <c r="D48" s="129" t="n">
        <f aca="false">D43+D44+D45+D46+D47</f>
        <v>1.88466748019734</v>
      </c>
      <c r="E48" s="129" t="n">
        <f aca="false">E43+E44+E45+E46+E47</f>
        <v>2.8646513532112</v>
      </c>
      <c r="F48" s="129" t="n">
        <f aca="false">F43+F44+F45+F46+F47</f>
        <v>1.10188330451562</v>
      </c>
      <c r="G48" s="129" t="n">
        <f aca="false">G43+G44+G45+G46+G47</f>
        <v>1.812232738713</v>
      </c>
      <c r="H48" s="129" t="n">
        <f aca="false">H43+H44+H45+H46+H47</f>
        <v>2.69481414737547</v>
      </c>
      <c r="I48" s="129" t="n">
        <f aca="false">I43+I44+I45+I46+I47</f>
        <v>1.20671911367581</v>
      </c>
      <c r="J48" s="129" t="n">
        <f aca="false">J43+J44+J45+J46+J47</f>
        <v>1.98263481314457</v>
      </c>
      <c r="K48" s="129" t="n">
        <f aca="false">K43+K44+K45+K46+K47</f>
        <v>3.00013873514752</v>
      </c>
      <c r="L48" s="129" t="n">
        <f aca="false">L43+L44+L45+L46+L47</f>
        <v>1.26921258843664</v>
      </c>
      <c r="M48" s="129" t="n">
        <f aca="false">M43+M44+M45+M46+M47</f>
        <v>2.09349554831403</v>
      </c>
      <c r="N48" s="129" t="n">
        <f aca="false">N43+N44+N45+N46+N47</f>
        <v>3.08819917750912</v>
      </c>
      <c r="O48" s="129" t="n">
        <f aca="false">O43+O44+O45+O46+O47</f>
        <v>1.30327937103509</v>
      </c>
      <c r="P48" s="129" t="n">
        <f aca="false">P43+P44+P45+P46+P47</f>
        <v>2.35254632767053</v>
      </c>
      <c r="Q48" s="129" t="n">
        <f aca="false">Q43+Q44+Q45+Q46+Q47</f>
        <v>3.68780273586978</v>
      </c>
    </row>
    <row r="49" customFormat="false" ht="15" hidden="false" customHeight="true" outlineLevel="0" collapsed="false">
      <c r="A49" s="20" t="s">
        <v>890</v>
      </c>
      <c r="B49" s="16" t="s">
        <v>867</v>
      </c>
      <c r="C49" s="130" t="n">
        <f aca="false">C39+C40+C48</f>
        <v>5.19000377241587</v>
      </c>
      <c r="D49" s="130" t="n">
        <f aca="false">D39+D40+D48</f>
        <v>7.10411981353067</v>
      </c>
      <c r="E49" s="130" t="n">
        <f aca="false">E39+E40+E48</f>
        <v>12.2070705365445</v>
      </c>
      <c r="F49" s="130" t="n">
        <f aca="false">F39+F40+F48</f>
        <v>5.04951503784896</v>
      </c>
      <c r="G49" s="130" t="n">
        <f aca="false">G39+G40+G48</f>
        <v>6.44917840537967</v>
      </c>
      <c r="H49" s="130" t="n">
        <f aca="false">H39+H40+H48</f>
        <v>10.4195985807088</v>
      </c>
      <c r="I49" s="130" t="n">
        <f aca="false">I39+I40+I48</f>
        <v>6.47360284700915</v>
      </c>
      <c r="J49" s="130" t="n">
        <f aca="false">J39+J40+J48</f>
        <v>7.98992214647791</v>
      </c>
      <c r="K49" s="130" t="n">
        <f aca="false">K39+K40+K48</f>
        <v>13.6330236684808</v>
      </c>
      <c r="L49" s="130" t="n">
        <f aca="false">L39+L40+L48</f>
        <v>7.32251312176997</v>
      </c>
      <c r="M49" s="130" t="n">
        <f aca="false">M39+M40+M48</f>
        <v>8.9923042149807</v>
      </c>
      <c r="N49" s="130" t="n">
        <f aca="false">N39+N40+N48</f>
        <v>14.5598263108425</v>
      </c>
      <c r="O49" s="130" t="n">
        <f aca="false">O39+O40+O48</f>
        <v>7.78527570436843</v>
      </c>
      <c r="P49" s="130" t="n">
        <f aca="false">P39+P40+P48</f>
        <v>11.3345929943372</v>
      </c>
      <c r="Q49" s="130" t="n">
        <f aca="false">Q39+Q40+Q48</f>
        <v>20.8704255692031</v>
      </c>
    </row>
    <row r="50" customFormat="false" ht="15" hidden="false" customHeight="true" outlineLevel="0" collapsed="false">
      <c r="A50" s="25" t="s">
        <v>891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892</v>
      </c>
      <c r="B51" s="16" t="s">
        <v>93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893</v>
      </c>
      <c r="B52" s="16" t="s">
        <v>97</v>
      </c>
      <c r="C52" s="133" t="n">
        <f aca="false">C51/(1-(1+C51)^(-C38))</f>
        <v>0.21631538622901</v>
      </c>
      <c r="D52" s="133" t="n">
        <f aca="false">D51/(1-(1+D51)^(-D38))</f>
        <v>0.229607380362667</v>
      </c>
      <c r="E52" s="133" t="n">
        <f aca="false">E51/(1-(1+E51)^(-E38))</f>
        <v>0.336194197406613</v>
      </c>
      <c r="F52" s="133" t="n">
        <f aca="false">F51/(1-(1+F51)^(-F38))</f>
        <v>0.21631538622901</v>
      </c>
      <c r="G52" s="133" t="n">
        <f aca="false">G51/(1-(1+G51)^(-G38))</f>
        <v>0.229607380362667</v>
      </c>
      <c r="H52" s="133" t="n">
        <f aca="false">H51/(1-(1+H51)^(-H38))</f>
        <v>0.336194197406613</v>
      </c>
      <c r="I52" s="133" t="n">
        <f aca="false">I51/(1-(1+I51)^(-I38))</f>
        <v>0.21631538622901</v>
      </c>
      <c r="J52" s="133" t="n">
        <f aca="false">J51/(1-(1+J51)^(-J38))</f>
        <v>0.229607380362667</v>
      </c>
      <c r="K52" s="133" t="n">
        <f aca="false">K51/(1-(1+K51)^(-K38))</f>
        <v>0.336194197406613</v>
      </c>
      <c r="L52" s="133" t="n">
        <f aca="false">L51/(1-(1+L51)^(-L38))</f>
        <v>0.21631538622901</v>
      </c>
      <c r="M52" s="133" t="n">
        <f aca="false">M51/(1-(1+M51)^(-M38))</f>
        <v>0.229607380362667</v>
      </c>
      <c r="N52" s="133" t="n">
        <f aca="false">N51/(1-(1+N51)^(-N38))</f>
        <v>0.336194197406613</v>
      </c>
      <c r="O52" s="133" t="n">
        <f aca="false">O51/(1-(1+O51)^(-O38))</f>
        <v>0.21631538622901</v>
      </c>
      <c r="P52" s="133" t="n">
        <f aca="false">P51/(1-(1+P51)^(-P38))</f>
        <v>0.229607380362667</v>
      </c>
      <c r="Q52" s="133" t="n">
        <f aca="false">Q51/(1-(1+Q51)^(-Q38))</f>
        <v>0.336194197406613</v>
      </c>
    </row>
    <row r="53" customFormat="false" ht="15" hidden="false" customHeight="true" outlineLevel="0" collapsed="false">
      <c r="A53" s="15" t="s">
        <v>894</v>
      </c>
      <c r="B53" s="16" t="s">
        <v>867</v>
      </c>
      <c r="C53" s="129" t="n">
        <f aca="false">C24*C52</f>
        <v>4.63353384839044</v>
      </c>
      <c r="D53" s="129" t="n">
        <f aca="false">D24*D52</f>
        <v>6.31654816975637</v>
      </c>
      <c r="E53" s="129" t="n">
        <f aca="false">E24*E52</f>
        <v>11.47119594228</v>
      </c>
      <c r="F53" s="129" t="n">
        <f aca="false">F24*F52</f>
        <v>4.46461770590731</v>
      </c>
      <c r="G53" s="129" t="n">
        <f aca="false">G24*G52</f>
        <v>5.51406119109364</v>
      </c>
      <c r="H53" s="129" t="n">
        <f aca="false">H24*H52</f>
        <v>9.29583827638681</v>
      </c>
      <c r="I53" s="129" t="n">
        <f aca="false">I24*I52</f>
        <v>6.17686474138768</v>
      </c>
      <c r="J53" s="129" t="n">
        <f aca="false">J24*J52</f>
        <v>7.4019045528045</v>
      </c>
      <c r="K53" s="129" t="n">
        <f aca="false">K24*K52</f>
        <v>13.2065843306879</v>
      </c>
      <c r="L53" s="129" t="n">
        <f aca="false">L24*L52</f>
        <v>7.19754906436157</v>
      </c>
      <c r="M53" s="129" t="n">
        <f aca="false">M24*M52</f>
        <v>8.6301038201091</v>
      </c>
      <c r="N53" s="129" t="n">
        <f aca="false">N24*N52</f>
        <v>14.3345053737281</v>
      </c>
      <c r="O53" s="129" t="n">
        <f aca="false">O24*O52</f>
        <v>7.75395004967209</v>
      </c>
      <c r="P53" s="129" t="n">
        <f aca="false">P24*P52</f>
        <v>11.5000647392209</v>
      </c>
      <c r="Q53" s="129" t="n">
        <f aca="false">Q24*Q52</f>
        <v>22.0145198367446</v>
      </c>
    </row>
    <row r="54" customFormat="false" ht="15" hidden="false" customHeight="true" outlineLevel="0" collapsed="false">
      <c r="A54" s="20" t="s">
        <v>895</v>
      </c>
      <c r="B54" s="16" t="s">
        <v>867</v>
      </c>
      <c r="C54" s="129" t="n">
        <f aca="false">(C26*C51/(1-(1+C51)^(-Inputs!D24))+C27*C51/(1-(1+C51)^(-Inputs!D25))+C28*C51/(1-(1+C51)^(-Inputs!D26))+C29*C51/(1-(1+C51)^(-Inputs!D27)))*(1+C30)+C25*C51</f>
        <v>1.04531526579147</v>
      </c>
      <c r="D54" s="129" t="n">
        <f aca="false">(D26*D51/(1-(1+D51)^(-Inputs!E24))+D27*D51/(1-(1+D51)^(-Inputs!E25))+D28*D51/(1-(1+D51)^(-Inputs!E26))+D29*D51/(1-(1+D51)^(-Inputs!E27)))*(1+D30)+D25*D51</f>
        <v>1.50187163616098</v>
      </c>
      <c r="E54" s="129" t="n">
        <f aca="false">(E26*E51/(1-(1+E51)^(-Inputs!F24))+E27*E51/(1-(1+E51)^(-Inputs!F25))+E28*E51/(1-(1+E51)^(-Inputs!F26))+E29*E51/(1-(1+E51)^(-Inputs!F27)))*(1+E30)+E25*E51</f>
        <v>2.32792243821144</v>
      </c>
      <c r="F54" s="129" t="n">
        <f aca="false">(F26*F51/(1-(1+F51)^(-Inputs!D24))+F27*F51/(1-(1+F51)^(-Inputs!D25))+F28*F51/(1-(1+F51)^(-Inputs!D26))+F29*F51/(1-(1+F51)^(-Inputs!D27)))*(1+F30)+F25*F51</f>
        <v>1.04531526579147</v>
      </c>
      <c r="G54" s="129" t="n">
        <f aca="false">(G26*G51/(1-(1+G51)^(-Inputs!E24))+G27*G51/(1-(1+G51)^(-Inputs!E25))+G28*G51/(1-(1+G51)^(-Inputs!E26))+G29*G51/(1-(1+G51)^(-Inputs!E27)))*(1+G30)+G25*G51</f>
        <v>1.50187163616098</v>
      </c>
      <c r="H54" s="129" t="n">
        <f aca="false">(H26*H51/(1-(1+H51)^(-Inputs!F24))+H27*H51/(1-(1+H51)^(-Inputs!F25))+H28*H51/(1-(1+H51)^(-Inputs!F26))+H29*H51/(1-(1+H51)^(-Inputs!F27)))*(1+H30)+H25*H51</f>
        <v>2.32792243821144</v>
      </c>
      <c r="I54" s="129" t="n">
        <f aca="false">(I26*I51/(1-(1+I51)^(-Inputs!D24))+I27*I51/(1-(1+I51)^(-Inputs!D25))+I28*I51/(1-(1+I51)^(-Inputs!D26))+I29*I51/(1-(1+I51)^(-Inputs!D27)))*(1+I30)+I25*I51</f>
        <v>1.04531526579147</v>
      </c>
      <c r="J54" s="129" t="n">
        <f aca="false">(J26*J51/(1-(1+J51)^(-Inputs!E24))+J27*J51/(1-(1+J51)^(-Inputs!E25))+J28*J51/(1-(1+J51)^(-Inputs!E26))+J29*J51/(1-(1+J51)^(-Inputs!E27)))*(1+J30)+J25*J51</f>
        <v>1.50187163616098</v>
      </c>
      <c r="K54" s="129" t="n">
        <f aca="false">(K26*K51/(1-(1+K51)^(-Inputs!F24))+K27*K51/(1-(1+K51)^(-Inputs!F25))+K28*K51/(1-(1+K51)^(-Inputs!F26))+K29*K51/(1-(1+K51)^(-Inputs!F27)))*(1+K30)+K25*K51</f>
        <v>2.32792243821144</v>
      </c>
      <c r="L54" s="129" t="n">
        <f aca="false">(L26*L51/(1-(1+L51)^(-Inputs!D24))+L27*L51/(1-(1+L51)^(-Inputs!D25))+L28*L51/(1-(1+L51)^(-Inputs!D26))+L29*L51/(1-(1+L51)^(-Inputs!D27)))*(1+L30)+L25*L51</f>
        <v>1.04531526579147</v>
      </c>
      <c r="M54" s="129" t="n">
        <f aca="false">(M26*M51/(1-(1+M51)^(-Inputs!E24))+M27*M51/(1-(1+M51)^(-Inputs!E25))+M28*M51/(1-(1+M51)^(-Inputs!E26))+M29*M51/(1-(1+M51)^(-Inputs!E27)))*(1+M30)+M25*M51</f>
        <v>1.50187163616098</v>
      </c>
      <c r="N54" s="129" t="n">
        <f aca="false">(N26*N51/(1-(1+N51)^(-Inputs!F24))+N27*N51/(1-(1+N51)^(-Inputs!F25))+N28*N51/(1-(1+N51)^(-Inputs!F26))+N29*N51/(1-(1+N51)^(-Inputs!F27)))*(1+N30)+N25*N51</f>
        <v>2.32792243821144</v>
      </c>
      <c r="O54" s="129" t="n">
        <f aca="false">(O26*O51/(1-(1+O51)^(-Inputs!D24))+O27*O51/(1-(1+O51)^(-Inputs!D25))+O28*O51/(1-(1+O51)^(-Inputs!D26))+O29*O51/(1-(1+O51)^(-Inputs!D27)))*(1+O30)+O25*O51</f>
        <v>1.04531526579147</v>
      </c>
      <c r="P54" s="129" t="n">
        <f aca="false">(P26*P51/(1-(1+P51)^(-Inputs!E24))+P27*P51/(1-(1+P51)^(-Inputs!E25))+P28*P51/(1-(1+P51)^(-Inputs!E26))+P29*P51/(1-(1+P51)^(-Inputs!E27)))*(1+P30)+P25*P51</f>
        <v>1.50187163616098</v>
      </c>
      <c r="Q54" s="129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896</v>
      </c>
      <c r="B55" s="16" t="s">
        <v>867</v>
      </c>
      <c r="C55" s="130" t="n">
        <f aca="false">C53+C54+C48</f>
        <v>6.79107465326444</v>
      </c>
      <c r="D55" s="130" t="n">
        <f aca="false">D53+D54+D48</f>
        <v>9.70308728611469</v>
      </c>
      <c r="E55" s="130" t="n">
        <f aca="false">E53+E54+E48</f>
        <v>16.6637697337026</v>
      </c>
      <c r="F55" s="130" t="n">
        <f aca="false">F53+F54+F48</f>
        <v>6.6118162762144</v>
      </c>
      <c r="G55" s="130" t="n">
        <f aca="false">G53+G54+G48</f>
        <v>8.82816556596761</v>
      </c>
      <c r="H55" s="130" t="n">
        <f aca="false">H53+H54+H48</f>
        <v>14.3185748619737</v>
      </c>
      <c r="I55" s="130" t="n">
        <f aca="false">I53+I54+I48</f>
        <v>8.42889912085495</v>
      </c>
      <c r="J55" s="130" t="n">
        <f aca="false">J53+J54+J48</f>
        <v>10.8864110021101</v>
      </c>
      <c r="K55" s="130" t="n">
        <f aca="false">K53+K54+K48</f>
        <v>18.5346455040469</v>
      </c>
      <c r="L55" s="130" t="n">
        <f aca="false">L53+L54+L48</f>
        <v>9.51207691858967</v>
      </c>
      <c r="M55" s="130" t="n">
        <f aca="false">M53+M54+M48</f>
        <v>12.2254710045841</v>
      </c>
      <c r="N55" s="130" t="n">
        <f aca="false">N53+N54+N48</f>
        <v>19.7506269894487</v>
      </c>
      <c r="O55" s="130" t="n">
        <f aca="false">O53+O54+O48</f>
        <v>10.1025446864987</v>
      </c>
      <c r="P55" s="130" t="n">
        <f aca="false">P53+P54+P48</f>
        <v>15.3544827030524</v>
      </c>
      <c r="Q55" s="130" t="n">
        <f aca="false">Q53+Q54+Q48</f>
        <v>28.0302450108258</v>
      </c>
    </row>
    <row r="56" customFormat="false" ht="15" hidden="false" customHeight="true" outlineLevel="0" collapsed="false">
      <c r="A56" s="25" t="s">
        <v>897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898</v>
      </c>
      <c r="B57" s="16" t="s">
        <v>840</v>
      </c>
      <c r="C57" s="129" t="n">
        <f aca="false">C49*1000000000/(C14*8760)</f>
        <v>0.825106655914003</v>
      </c>
      <c r="D57" s="129" t="n">
        <f aca="false">D49*1000000000/(D14*8760)</f>
        <v>1.12941277108671</v>
      </c>
      <c r="E57" s="129" t="n">
        <f aca="false">E49*1000000000/(E14*8760)</f>
        <v>1.94067973561919</v>
      </c>
      <c r="F57" s="129" t="n">
        <f aca="false">F49*1000000000/(F14*8760)</f>
        <v>1.14879517483916</v>
      </c>
      <c r="G57" s="129" t="n">
        <f aca="false">G49*1000000000/(G14*8760)</f>
        <v>1.46722704621019</v>
      </c>
      <c r="H57" s="129" t="n">
        <f aca="false">H49*1000000000/(H14*8760)</f>
        <v>2.37052162109775</v>
      </c>
      <c r="I57" s="129" t="n">
        <f aca="false">I49*1000000000/(I14*8760)</f>
        <v>1.51742016309999</v>
      </c>
      <c r="J57" s="129" t="n">
        <f aca="false">J49*1000000000/(J14*8760)</f>
        <v>1.87284720011301</v>
      </c>
      <c r="K57" s="129" t="n">
        <f aca="false">K49*1000000000/(K14*8760)</f>
        <v>3.19559687047063</v>
      </c>
      <c r="L57" s="129" t="n">
        <f aca="false">L49*1000000000/(L14*8760)</f>
        <v>2.86519456922153</v>
      </c>
      <c r="M57" s="129" t="n">
        <f aca="false">M49*1000000000/(M14*8760)</f>
        <v>3.51855992240582</v>
      </c>
      <c r="N57" s="129" t="n">
        <f aca="false">N49*1000000000/(N14*8760)</f>
        <v>5.69705162434053</v>
      </c>
      <c r="O57" s="129" t="n">
        <f aca="false">O49*1000000000/(O14*8760)</f>
        <v>4.56320652720479</v>
      </c>
      <c r="P57" s="129" t="n">
        <f aca="false">P49*1000000000/(P14*8760)</f>
        <v>6.64357830075911</v>
      </c>
      <c r="Q57" s="129" t="n">
        <f aca="false">Q49*1000000000/(Q14*8760)</f>
        <v>12.2328438708331</v>
      </c>
    </row>
    <row r="58" customFormat="false" ht="15" hidden="false" customHeight="true" outlineLevel="0" collapsed="false">
      <c r="A58" s="20" t="s">
        <v>899</v>
      </c>
      <c r="B58" s="16" t="s">
        <v>840</v>
      </c>
      <c r="C58" s="130" t="n">
        <f aca="false">C55*1000000000/(C14*8760)</f>
        <v>1.07964486018265</v>
      </c>
      <c r="D58" s="130" t="n">
        <f aca="false">D55*1000000000/(D14*8760)</f>
        <v>1.54259654785589</v>
      </c>
      <c r="E58" s="130" t="n">
        <f aca="false">E55*1000000000/(E14*8760)</f>
        <v>2.64920565047995</v>
      </c>
      <c r="F58" s="130" t="n">
        <f aca="false">F55*1000000000/(F14*8760)</f>
        <v>1.50422814430785</v>
      </c>
      <c r="G58" s="130" t="n">
        <f aca="false">G55*1000000000/(G14*8760)</f>
        <v>2.00846099652078</v>
      </c>
      <c r="H58" s="130" t="n">
        <f aca="false">H55*1000000000/(H14*8760)</f>
        <v>3.25756227849869</v>
      </c>
      <c r="I58" s="130" t="n">
        <f aca="false">I55*1000000000/(I14*8760)</f>
        <v>1.97574392204647</v>
      </c>
      <c r="J58" s="130" t="n">
        <f aca="false">J55*1000000000/(J14*8760)</f>
        <v>2.55178761329595</v>
      </c>
      <c r="K58" s="130" t="n">
        <f aca="false">K55*1000000000/(K14*8760)</f>
        <v>4.34454282544458</v>
      </c>
      <c r="L58" s="130" t="n">
        <f aca="false">L55*1000000000/(L14*8760)</f>
        <v>3.72193954123947</v>
      </c>
      <c r="M58" s="130" t="n">
        <f aca="false">M55*1000000000/(M14*8760)</f>
        <v>4.78365180724219</v>
      </c>
      <c r="N58" s="130" t="n">
        <f aca="false">N55*1000000000/(N14*8760)</f>
        <v>7.72813762813851</v>
      </c>
      <c r="O58" s="130" t="n">
        <f aca="false">O55*1000000000/(O14*8760)</f>
        <v>5.92143420546319</v>
      </c>
      <c r="P58" s="130" t="n">
        <f aca="false">P55*1000000000/(P14*8760)</f>
        <v>8.99976806898525</v>
      </c>
      <c r="Q58" s="130" t="n">
        <f aca="false">Q55*1000000000/(Q14*8760)</f>
        <v>16.4294498807254</v>
      </c>
    </row>
    <row r="59" customFormat="false" ht="15" hidden="false" customHeight="true" outlineLevel="0" collapsed="false">
      <c r="A59" s="20" t="s">
        <v>900</v>
      </c>
      <c r="B59" s="16" t="s">
        <v>901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902</v>
      </c>
      <c r="B60" s="16" t="s">
        <v>903</v>
      </c>
      <c r="C60" s="129" t="n">
        <f aca="false">C8*C41*C15*8760/1000000</f>
        <v>6.7452</v>
      </c>
      <c r="D60" s="129" t="n">
        <f aca="false">D8*D41*D15*8760/1000000</f>
        <v>8.4096</v>
      </c>
      <c r="E60" s="129" t="n">
        <f aca="false">E8*E41*E15*8760/1000000</f>
        <v>10.2492</v>
      </c>
      <c r="F60" s="129" t="n">
        <f aca="false">F8*F41*F15*8760/1000000</f>
        <v>6.7452</v>
      </c>
      <c r="G60" s="129" t="n">
        <f aca="false">G8*G41*G15*8760/1000000</f>
        <v>8.4096</v>
      </c>
      <c r="H60" s="129" t="n">
        <f aca="false">H8*H41*H15*8760/1000000</f>
        <v>10.2492</v>
      </c>
      <c r="I60" s="129" t="n">
        <f aca="false">I8*I41*I15*8760/1000000</f>
        <v>6.7452</v>
      </c>
      <c r="J60" s="129" t="n">
        <f aca="false">J8*J41*J15*8760/1000000</f>
        <v>8.4096</v>
      </c>
      <c r="K60" s="129" t="n">
        <f aca="false">K8*K41*K15*8760/1000000</f>
        <v>10.2492</v>
      </c>
      <c r="L60" s="129" t="n">
        <f aca="false">L8*L41*L15*8760/1000000</f>
        <v>6.7452</v>
      </c>
      <c r="M60" s="129" t="n">
        <f aca="false">M8*M41*M15*8760/1000000</f>
        <v>8.4096</v>
      </c>
      <c r="N60" s="129" t="n">
        <f aca="false">N8*N41*N15*8760/1000000</f>
        <v>10.2492</v>
      </c>
      <c r="O60" s="129" t="n">
        <f aca="false">O8*O41*O15*8760/1000000</f>
        <v>6.7452</v>
      </c>
      <c r="P60" s="129" t="n">
        <f aca="false">P8*P41*P15*8760/1000000</f>
        <v>8.4096</v>
      </c>
      <c r="Q60" s="129" t="n">
        <f aca="false">Q8*Q41*Q15*8760/1000000</f>
        <v>10.2492</v>
      </c>
    </row>
    <row r="61" customFormat="false" ht="15" hidden="false" customHeight="true" outlineLevel="0" collapsed="false">
      <c r="A61" s="20" t="s">
        <v>904</v>
      </c>
      <c r="B61" s="16" t="s">
        <v>93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905</v>
      </c>
      <c r="B62" s="16" t="s">
        <v>93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5" t="s">
        <v>906</v>
      </c>
    </row>
    <row r="2" customFormat="false" ht="15" hidden="false" customHeight="false" outlineLevel="0" collapsed="false">
      <c r="A2" s="56" t="s">
        <v>907</v>
      </c>
    </row>
    <row r="4" customFormat="false" ht="15" hidden="false" customHeight="false" outlineLevel="0" collapsed="false">
      <c r="A4" s="57" t="s">
        <v>323</v>
      </c>
      <c r="B4" s="57" t="s">
        <v>77</v>
      </c>
      <c r="C4" s="57" t="s">
        <v>324</v>
      </c>
      <c r="D4" s="57" t="s">
        <v>81</v>
      </c>
      <c r="H4" s="57" t="s">
        <v>325</v>
      </c>
    </row>
    <row r="5" customFormat="false" ht="15" hidden="false" customHeight="false" outlineLevel="0" collapsed="false">
      <c r="A5" s="58" t="s">
        <v>908</v>
      </c>
      <c r="B5" s="58"/>
      <c r="C5" s="134" t="s">
        <v>909</v>
      </c>
      <c r="D5" s="56" t="s">
        <v>86</v>
      </c>
      <c r="H5" s="85" t="s">
        <v>910</v>
      </c>
    </row>
    <row r="6" customFormat="false" ht="26.85" hidden="false" customHeight="false" outlineLevel="0" collapsed="false">
      <c r="A6" s="58" t="s">
        <v>911</v>
      </c>
      <c r="B6" s="59" t="s">
        <v>93</v>
      </c>
      <c r="C6" s="63" t="n">
        <v>0.25</v>
      </c>
      <c r="D6" s="56" t="s">
        <v>98</v>
      </c>
      <c r="H6" s="85" t="s">
        <v>912</v>
      </c>
    </row>
    <row r="7" customFormat="false" ht="15" hidden="false" customHeight="false" outlineLevel="0" collapsed="false">
      <c r="A7" s="59" t="s">
        <v>913</v>
      </c>
      <c r="B7" s="59" t="s">
        <v>93</v>
      </c>
      <c r="C7" s="63" t="n">
        <v>0.9</v>
      </c>
      <c r="D7" s="56" t="s">
        <v>98</v>
      </c>
      <c r="H7" s="85" t="s">
        <v>914</v>
      </c>
    </row>
    <row r="8" customFormat="false" ht="15" hidden="false" customHeight="false" outlineLevel="0" collapsed="false">
      <c r="A8" s="59" t="s">
        <v>915</v>
      </c>
      <c r="B8" s="59" t="s">
        <v>97</v>
      </c>
      <c r="C8" s="76" t="n">
        <v>0.8</v>
      </c>
      <c r="D8" s="56" t="s">
        <v>94</v>
      </c>
      <c r="H8" s="91" t="s">
        <v>916</v>
      </c>
    </row>
    <row r="9" customFormat="false" ht="15" hidden="false" customHeight="false" outlineLevel="0" collapsed="false">
      <c r="A9" s="59" t="s">
        <v>917</v>
      </c>
      <c r="B9" s="59" t="s">
        <v>97</v>
      </c>
      <c r="C9" s="76" t="n">
        <v>0.6</v>
      </c>
      <c r="D9" s="56" t="s">
        <v>94</v>
      </c>
      <c r="H9" s="91" t="s">
        <v>918</v>
      </c>
    </row>
    <row r="10" customFormat="false" ht="15" hidden="false" customHeight="false" outlineLevel="0" collapsed="false">
      <c r="A10" s="58" t="s">
        <v>919</v>
      </c>
      <c r="B10" s="58" t="s">
        <v>89</v>
      </c>
      <c r="C10" s="64" t="n">
        <v>0</v>
      </c>
      <c r="D10" s="56" t="s">
        <v>94</v>
      </c>
      <c r="H10" s="85" t="s">
        <v>920</v>
      </c>
    </row>
    <row r="11" customFormat="false" ht="26.85" hidden="false" customHeight="false" outlineLevel="0" collapsed="false">
      <c r="A11" s="59" t="s">
        <v>921</v>
      </c>
      <c r="B11" s="59" t="s">
        <v>93</v>
      </c>
      <c r="C11" s="63" t="n">
        <v>0.85</v>
      </c>
      <c r="D11" s="56" t="s">
        <v>98</v>
      </c>
      <c r="H11" s="85" t="s">
        <v>922</v>
      </c>
    </row>
    <row r="12" customFormat="false" ht="15" hidden="false" customHeight="false" outlineLevel="0" collapsed="false">
      <c r="A12" s="59" t="s">
        <v>923</v>
      </c>
      <c r="B12" s="58" t="s">
        <v>316</v>
      </c>
      <c r="C12" s="64" t="n">
        <v>16</v>
      </c>
      <c r="D12" s="56" t="s">
        <v>98</v>
      </c>
      <c r="H12" s="85" t="s">
        <v>924</v>
      </c>
    </row>
    <row r="13" customFormat="false" ht="26.85" hidden="false" customHeight="false" outlineLevel="0" collapsed="false">
      <c r="A13" s="58" t="s">
        <v>925</v>
      </c>
      <c r="B13" s="59" t="s">
        <v>97</v>
      </c>
      <c r="C13" s="75" t="n">
        <v>8</v>
      </c>
      <c r="D13" s="56" t="s">
        <v>98</v>
      </c>
      <c r="H13" s="85" t="s">
        <v>926</v>
      </c>
    </row>
    <row r="14" customFormat="false" ht="15" hidden="false" customHeight="false" outlineLevel="0" collapsed="false">
      <c r="A14" s="58" t="s">
        <v>927</v>
      </c>
      <c r="B14" s="58"/>
      <c r="C14" s="103" t="s">
        <v>928</v>
      </c>
      <c r="D14" s="56" t="s">
        <v>86</v>
      </c>
      <c r="H14" s="85" t="s">
        <v>929</v>
      </c>
    </row>
    <row r="15" customFormat="false" ht="15" hidden="false" customHeight="false" outlineLevel="0" collapsed="false">
      <c r="A15" s="58" t="s">
        <v>930</v>
      </c>
      <c r="B15" s="58" t="s">
        <v>89</v>
      </c>
      <c r="C15" s="64" t="n">
        <v>3</v>
      </c>
      <c r="D15" s="56" t="s">
        <v>94</v>
      </c>
      <c r="H15" s="91" t="s">
        <v>931</v>
      </c>
    </row>
    <row r="16" customFormat="false" ht="15" hidden="false" customHeight="false" outlineLevel="0" collapsed="false">
      <c r="A16" s="58" t="s">
        <v>932</v>
      </c>
      <c r="B16" s="58" t="s">
        <v>933</v>
      </c>
      <c r="C16" s="64" t="n">
        <v>4</v>
      </c>
      <c r="D16" s="56" t="s">
        <v>86</v>
      </c>
      <c r="E16" s="79" t="str">
        <f aca="false">INDEX(Spec_Rack!$C$4:$G$4,$C$16)</f>
        <v>VR200 NVL72</v>
      </c>
      <c r="H16" s="85" t="s">
        <v>934</v>
      </c>
    </row>
    <row r="17" customFormat="false" ht="15" hidden="false" customHeight="false" outlineLevel="0" collapsed="false">
      <c r="A17" s="58" t="s">
        <v>935</v>
      </c>
      <c r="B17" s="58" t="s">
        <v>933</v>
      </c>
      <c r="C17" s="64" t="n">
        <v>3</v>
      </c>
      <c r="D17" s="56" t="s">
        <v>86</v>
      </c>
      <c r="E17" s="79" t="str">
        <f aca="false">INDEX(Spec_Rack!$C$4:$G$4,$C$17)</f>
        <v>GB300 NVL72</v>
      </c>
      <c r="H17" s="85" t="s">
        <v>936</v>
      </c>
    </row>
    <row r="19" customFormat="false" ht="15" hidden="false" customHeight="false" outlineLevel="0" collapsed="false">
      <c r="A19" s="66" t="s">
        <v>937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57" t="s">
        <v>165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938</v>
      </c>
      <c r="B21" s="59" t="s">
        <v>97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939</v>
      </c>
    </row>
    <row r="23" customFormat="false" ht="15" hidden="false" customHeight="false" outlineLevel="0" collapsed="false">
      <c r="A23" s="66" t="s">
        <v>940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57" t="s">
        <v>357</v>
      </c>
      <c r="B24" s="57" t="s">
        <v>77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57" t="s">
        <v>325</v>
      </c>
    </row>
    <row r="25" customFormat="false" ht="24.6" hidden="false" customHeight="false" outlineLevel="0" collapsed="false">
      <c r="A25" s="58" t="s">
        <v>941</v>
      </c>
      <c r="B25" s="59" t="s">
        <v>942</v>
      </c>
      <c r="C25" s="96" t="n">
        <f aca="false">SRC_MOD_029</f>
        <v>32</v>
      </c>
      <c r="D25" s="96" t="n">
        <f aca="false">SRC_MOD_030</f>
        <v>33</v>
      </c>
      <c r="E25" s="135" t="n">
        <v>60</v>
      </c>
      <c r="H25" s="85" t="s">
        <v>943</v>
      </c>
    </row>
    <row r="26" customFormat="false" ht="15" hidden="false" customHeight="false" outlineLevel="0" collapsed="false">
      <c r="A26" s="58" t="s">
        <v>944</v>
      </c>
      <c r="B26" s="59" t="s">
        <v>279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945</v>
      </c>
    </row>
    <row r="27" customFormat="false" ht="15" hidden="false" customHeight="false" outlineLevel="0" collapsed="false">
      <c r="A27" s="58" t="s">
        <v>946</v>
      </c>
      <c r="B27" s="59" t="s">
        <v>942</v>
      </c>
      <c r="C27" s="135" t="n">
        <v>1</v>
      </c>
      <c r="D27" s="135" t="n">
        <v>1</v>
      </c>
      <c r="E27" s="135" t="n">
        <v>2</v>
      </c>
      <c r="H27" s="85" t="s">
        <v>947</v>
      </c>
    </row>
    <row r="28" customFormat="false" ht="15" hidden="false" customHeight="false" outlineLevel="0" collapsed="false">
      <c r="A28" s="58" t="s">
        <v>948</v>
      </c>
      <c r="B28" s="59" t="s">
        <v>279</v>
      </c>
      <c r="C28" s="61" t="n">
        <v>131072</v>
      </c>
      <c r="D28" s="61" t="n">
        <v>131072</v>
      </c>
      <c r="E28" s="61" t="n">
        <v>131072</v>
      </c>
      <c r="H28" s="85" t="s">
        <v>94</v>
      </c>
    </row>
    <row r="29" customFormat="false" ht="15" hidden="false" customHeight="false" outlineLevel="0" collapsed="false">
      <c r="A29" s="59" t="s">
        <v>949</v>
      </c>
      <c r="B29" s="59" t="s">
        <v>942</v>
      </c>
      <c r="C29" s="136" t="n">
        <v>0.05</v>
      </c>
      <c r="D29" s="136" t="n">
        <v>0.05</v>
      </c>
      <c r="E29" s="136" t="n">
        <v>0.1</v>
      </c>
      <c r="H29" s="85" t="s">
        <v>950</v>
      </c>
    </row>
    <row r="30" customFormat="false" ht="15" hidden="false" customHeight="false" outlineLevel="0" collapsed="false">
      <c r="A30" s="59" t="s">
        <v>951</v>
      </c>
      <c r="B30" s="59" t="s">
        <v>279</v>
      </c>
      <c r="C30" s="61" t="n">
        <v>16384</v>
      </c>
      <c r="D30" s="61" t="n">
        <v>16384</v>
      </c>
      <c r="E30" s="61" t="n">
        <v>16384</v>
      </c>
      <c r="H30" s="85" t="s">
        <v>94</v>
      </c>
    </row>
    <row r="31" customFormat="false" ht="15" hidden="false" customHeight="false" outlineLevel="0" collapsed="false">
      <c r="A31" s="58" t="s">
        <v>952</v>
      </c>
      <c r="B31" s="59" t="s">
        <v>359</v>
      </c>
      <c r="C31" s="61" t="n">
        <v>20</v>
      </c>
      <c r="D31" s="61" t="n">
        <v>20</v>
      </c>
      <c r="E31" s="61" t="n">
        <v>20</v>
      </c>
      <c r="H31" s="91" t="s">
        <v>953</v>
      </c>
    </row>
    <row r="32" customFormat="false" ht="15" hidden="false" customHeight="false" outlineLevel="0" collapsed="false">
      <c r="A32" s="59" t="s">
        <v>954</v>
      </c>
      <c r="B32" s="59" t="s">
        <v>279</v>
      </c>
      <c r="C32" s="61" t="n">
        <v>4096</v>
      </c>
      <c r="D32" s="61" t="n">
        <v>8192</v>
      </c>
      <c r="E32" s="61" t="n">
        <v>16384</v>
      </c>
      <c r="H32" s="85" t="s">
        <v>94</v>
      </c>
    </row>
    <row r="33" customFormat="false" ht="15" hidden="false" customHeight="false" outlineLevel="0" collapsed="false">
      <c r="A33" s="59" t="s">
        <v>955</v>
      </c>
      <c r="B33" s="59" t="s">
        <v>279</v>
      </c>
      <c r="C33" s="61" t="n">
        <v>8192</v>
      </c>
      <c r="D33" s="61" t="n">
        <v>16384</v>
      </c>
      <c r="E33" s="61" t="n">
        <v>32768</v>
      </c>
      <c r="H33" s="85" t="s">
        <v>956</v>
      </c>
    </row>
    <row r="34" customFormat="false" ht="39.55" hidden="false" customHeight="false" outlineLevel="0" collapsed="false">
      <c r="A34" s="59" t="s">
        <v>957</v>
      </c>
      <c r="B34" s="59" t="s">
        <v>942</v>
      </c>
      <c r="C34" s="137" t="n">
        <v>2.36</v>
      </c>
      <c r="D34" s="137" t="n">
        <v>2.36</v>
      </c>
      <c r="E34" s="137" t="n">
        <v>9.6</v>
      </c>
      <c r="H34" s="85" t="s">
        <v>958</v>
      </c>
    </row>
    <row r="35" customFormat="false" ht="15" hidden="false" customHeight="false" outlineLevel="0" collapsed="false">
      <c r="A35" s="59" t="s">
        <v>959</v>
      </c>
      <c r="B35" s="59" t="s">
        <v>942</v>
      </c>
      <c r="C35" s="136" t="n">
        <v>0.2</v>
      </c>
      <c r="D35" s="136" t="n">
        <v>0.2</v>
      </c>
      <c r="E35" s="136" t="n">
        <v>0.2</v>
      </c>
      <c r="H35" s="85" t="s">
        <v>960</v>
      </c>
    </row>
    <row r="36" customFormat="false" ht="15" hidden="false" customHeight="false" outlineLevel="0" collapsed="false">
      <c r="A36" s="58" t="s">
        <v>961</v>
      </c>
      <c r="B36" s="58" t="s">
        <v>89</v>
      </c>
      <c r="C36" s="64" t="n">
        <v>1</v>
      </c>
      <c r="D36" s="64" t="n">
        <v>2</v>
      </c>
      <c r="E36" s="64" t="n">
        <v>3</v>
      </c>
      <c r="H36" s="85" t="s">
        <v>962</v>
      </c>
    </row>
    <row r="37" customFormat="false" ht="15" hidden="false" customHeight="false" outlineLevel="0" collapsed="false">
      <c r="A37" s="58" t="s">
        <v>963</v>
      </c>
      <c r="B37" s="59" t="s">
        <v>942</v>
      </c>
      <c r="C37" s="135" t="n">
        <v>1</v>
      </c>
      <c r="D37" s="135" t="n">
        <v>2</v>
      </c>
      <c r="E37" s="135" t="n">
        <v>3</v>
      </c>
      <c r="H37" s="85" t="s">
        <v>964</v>
      </c>
    </row>
    <row r="38" customFormat="false" ht="15" hidden="false" customHeight="false" outlineLevel="0" collapsed="false">
      <c r="A38" s="58" t="s">
        <v>965</v>
      </c>
      <c r="B38" s="59" t="s">
        <v>942</v>
      </c>
      <c r="C38" s="136" t="n">
        <v>0.02</v>
      </c>
      <c r="D38" s="136" t="n">
        <v>0.05</v>
      </c>
      <c r="E38" s="136" t="n">
        <v>0.1</v>
      </c>
      <c r="H38" s="85" t="s">
        <v>94</v>
      </c>
    </row>
    <row r="40" customFormat="false" ht="15" hidden="false" customHeight="false" outlineLevel="0" collapsed="false">
      <c r="A40" s="66" t="s">
        <v>966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59" t="s">
        <v>967</v>
      </c>
      <c r="B41" s="59" t="s">
        <v>942</v>
      </c>
      <c r="C41" s="96" t="n">
        <f aca="false">SRC_MOD_039</f>
        <v>14.8</v>
      </c>
      <c r="H41" s="85" t="s">
        <v>968</v>
      </c>
    </row>
    <row r="42" customFormat="false" ht="15" hidden="false" customHeight="false" outlineLevel="0" collapsed="false">
      <c r="A42" s="59" t="s">
        <v>969</v>
      </c>
      <c r="B42" s="59" t="s">
        <v>970</v>
      </c>
      <c r="C42" s="92" t="n">
        <f aca="false">SRC_MOD_040</f>
        <v>2.664</v>
      </c>
      <c r="H42" s="85" t="s">
        <v>971</v>
      </c>
    </row>
    <row r="43" customFormat="false" ht="15" hidden="false" customHeight="false" outlineLevel="0" collapsed="false">
      <c r="A43" s="59" t="s">
        <v>972</v>
      </c>
      <c r="B43" s="59" t="s">
        <v>279</v>
      </c>
      <c r="C43" s="60" t="n">
        <f aca="false">SRC_MOD_042</f>
        <v>4096</v>
      </c>
      <c r="H43" s="85" t="s">
        <v>973</v>
      </c>
    </row>
    <row r="44" customFormat="false" ht="15" hidden="false" customHeight="false" outlineLevel="0" collapsed="false">
      <c r="A44" s="59" t="s">
        <v>974</v>
      </c>
      <c r="B44" s="59" t="s">
        <v>97</v>
      </c>
      <c r="C44" s="107" t="n">
        <f aca="false">SRC_MOD_034/SRC_MOD_040</f>
        <v>0.0551801801801802</v>
      </c>
      <c r="H44" s="85" t="s">
        <v>975</v>
      </c>
    </row>
    <row r="45" customFormat="false" ht="15" hidden="false" customHeight="false" outlineLevel="0" collapsed="false">
      <c r="A45" s="59" t="s">
        <v>976</v>
      </c>
      <c r="B45" s="59" t="s">
        <v>97</v>
      </c>
      <c r="C45" s="106" t="n">
        <f aca="false">SRC_MOD_036</f>
        <v>1</v>
      </c>
      <c r="H45" s="85" t="s">
        <v>977</v>
      </c>
    </row>
    <row r="46" customFormat="false" ht="15" hidden="false" customHeight="false" outlineLevel="0" collapsed="false">
      <c r="A46" s="58" t="s">
        <v>978</v>
      </c>
      <c r="B46" s="59" t="s">
        <v>301</v>
      </c>
      <c r="C46" s="138" t="n">
        <v>2E+026</v>
      </c>
      <c r="H46" s="85" t="s">
        <v>979</v>
      </c>
    </row>
    <row r="47" customFormat="false" ht="15" hidden="false" customHeight="false" outlineLevel="0" collapsed="false">
      <c r="A47" s="58" t="s">
        <v>980</v>
      </c>
      <c r="B47" s="59" t="s">
        <v>301</v>
      </c>
      <c r="C47" s="138" t="n">
        <v>5E+026</v>
      </c>
      <c r="H47" s="91" t="s">
        <v>119</v>
      </c>
    </row>
    <row r="48" customFormat="false" ht="15" hidden="false" customHeight="false" outlineLevel="0" collapsed="false">
      <c r="A48" s="58" t="s">
        <v>981</v>
      </c>
      <c r="B48" s="59" t="s">
        <v>301</v>
      </c>
      <c r="C48" s="138" t="n">
        <v>2E+027</v>
      </c>
      <c r="H48" s="9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5" t="s">
        <v>982</v>
      </c>
    </row>
    <row r="2" customFormat="false" ht="15" hidden="false" customHeight="false" outlineLevel="0" collapsed="false">
      <c r="A2" s="56" t="s">
        <v>983</v>
      </c>
    </row>
    <row r="3" customFormat="false" ht="15" hidden="false" customHeight="false" outlineLevel="0" collapsed="false">
      <c r="A3" s="57" t="s">
        <v>984</v>
      </c>
      <c r="R3" s="57" t="s">
        <v>985</v>
      </c>
      <c r="S3" s="57" t="s">
        <v>985</v>
      </c>
    </row>
    <row r="4" customFormat="false" ht="15" hidden="false" customHeight="false" outlineLevel="0" collapsed="false">
      <c r="A4" s="57" t="s">
        <v>165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57" t="s">
        <v>710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57" t="s">
        <v>440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57" t="s">
        <v>711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712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713</v>
      </c>
      <c r="B10" s="59" t="s">
        <v>97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</row>
    <row r="11" customFormat="false" ht="15" hidden="false" customHeight="false" outlineLevel="0" collapsed="false">
      <c r="A11" s="59" t="s">
        <v>714</v>
      </c>
      <c r="B11" s="59" t="s">
        <v>97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</row>
    <row r="12" customFormat="false" ht="15" hidden="false" customHeight="false" outlineLevel="0" collapsed="false">
      <c r="A12" s="58" t="s">
        <v>715</v>
      </c>
      <c r="B12" s="59" t="s">
        <v>97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</row>
    <row r="13" customFormat="false" ht="15" hidden="false" customHeight="false" outlineLevel="0" collapsed="false">
      <c r="A13" s="73" t="s">
        <v>716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463</v>
      </c>
      <c r="B14" s="59" t="s">
        <v>464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  <c r="R14" s="139" t="n">
        <f aca="false">Spec_Rack!$F$40</f>
        <v>17.5</v>
      </c>
      <c r="S14" s="139" t="n">
        <f aca="false">Spec_Rack!$F$40</f>
        <v>17.5</v>
      </c>
    </row>
    <row r="15" customFormat="false" ht="15" hidden="false" customHeight="false" outlineLevel="0" collapsed="false">
      <c r="A15" s="59" t="s">
        <v>465</v>
      </c>
      <c r="B15" s="59" t="s">
        <v>717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59" t="s">
        <v>466</v>
      </c>
      <c r="B16" s="59" t="s">
        <v>348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  <c r="R16" s="93" t="n">
        <f aca="false">INDEX(Spec_Rack!$C$26:$G$26,R$6)</f>
        <v>22</v>
      </c>
      <c r="S16" s="93" t="n">
        <f aca="false">INDEX(Spec_Rack!$C$26:$G$26,S$6)</f>
        <v>22</v>
      </c>
    </row>
    <row r="17" customFormat="false" ht="15" hidden="false" customHeight="false" outlineLevel="0" collapsed="false">
      <c r="A17" s="59" t="s">
        <v>718</v>
      </c>
      <c r="B17" s="59" t="s">
        <v>348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  <c r="R17" s="93" t="n">
        <f aca="false">INDEX(Spec_Rack!$C$27:$G$27,R$6)</f>
        <v>1.8</v>
      </c>
      <c r="S17" s="93" t="n">
        <f aca="false">INDEX(Spec_Rack!$C$27:$G$27,S$6)</f>
        <v>1.8</v>
      </c>
    </row>
    <row r="18" customFormat="false" ht="15" hidden="false" customHeight="false" outlineLevel="0" collapsed="false">
      <c r="A18" s="59" t="s">
        <v>226</v>
      </c>
      <c r="B18" s="59" t="s">
        <v>719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8" t="s">
        <v>720</v>
      </c>
      <c r="B19" s="59" t="s">
        <v>258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140" t="n">
        <v>1</v>
      </c>
      <c r="S19" s="140" t="n">
        <v>1</v>
      </c>
    </row>
    <row r="20" customFormat="false" ht="15" hidden="false" customHeight="false" outlineLevel="0" collapsed="false">
      <c r="A20" s="58" t="s">
        <v>721</v>
      </c>
      <c r="B20" s="59" t="s">
        <v>258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8" t="s">
        <v>722</v>
      </c>
      <c r="B21" s="59" t="s">
        <v>719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59" t="s">
        <v>178</v>
      </c>
      <c r="B22" s="58" t="s">
        <v>723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59" t="s">
        <v>724</v>
      </c>
      <c r="B23" s="59" t="s">
        <v>725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59" t="s">
        <v>726</v>
      </c>
      <c r="B24" s="59" t="s">
        <v>727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8" t="s">
        <v>728</v>
      </c>
      <c r="B25" s="58" t="s">
        <v>729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730</v>
      </c>
      <c r="B26" s="59" t="s">
        <v>731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732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261</v>
      </c>
      <c r="B28" s="59" t="s">
        <v>258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8" t="s">
        <v>263</v>
      </c>
      <c r="B29" s="58" t="s">
        <v>264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59" t="s">
        <v>266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8" t="s">
        <v>733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8" t="s">
        <v>473</v>
      </c>
      <c r="B32" s="59" t="s">
        <v>258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  <c r="R32" s="96" t="n">
        <f aca="false">INDEX(Arch!$C$28:$E$28,R$7)</f>
        <v>20.2777777777778</v>
      </c>
      <c r="S32" s="96" t="n">
        <f aca="false">INDEX(Arch!$C$28:$E$28,S$7)</f>
        <v>49.0725806451613</v>
      </c>
    </row>
    <row r="33" customFormat="false" ht="15" hidden="false" customHeight="false" outlineLevel="0" collapsed="false">
      <c r="A33" s="58" t="s">
        <v>299</v>
      </c>
      <c r="B33" s="59" t="s">
        <v>258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59" t="s">
        <v>734</v>
      </c>
      <c r="B34" s="59" t="s">
        <v>258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8" t="s">
        <v>475</v>
      </c>
      <c r="B35" s="59" t="s">
        <v>301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8" t="s">
        <v>276</v>
      </c>
      <c r="B36" s="59" t="s">
        <v>93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8" t="s">
        <v>735</v>
      </c>
      <c r="B37" s="59" t="s">
        <v>279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8" t="s">
        <v>281</v>
      </c>
      <c r="B38" s="59" t="s">
        <v>97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8" t="s">
        <v>283</v>
      </c>
      <c r="B39" s="59" t="s">
        <v>279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736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358</v>
      </c>
      <c r="B41" s="59" t="s">
        <v>359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59" t="s">
        <v>737</v>
      </c>
      <c r="B42" s="59" t="s">
        <v>362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  <c r="R42" s="106" t="n">
        <f aca="false">INDEX(Serving!$C$22:$E$22,R$7)</f>
        <v>3</v>
      </c>
      <c r="S42" s="106" t="n">
        <f aca="false">INDEX(Serving!$C$22:$E$22,S$7)</f>
        <v>5</v>
      </c>
    </row>
    <row r="43" customFormat="false" ht="15" hidden="false" customHeight="false" outlineLevel="0" collapsed="false">
      <c r="A43" s="58" t="s">
        <v>738</v>
      </c>
      <c r="B43" s="59" t="s">
        <v>279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8" t="s">
        <v>365</v>
      </c>
      <c r="B44" s="59" t="s">
        <v>279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59" t="s">
        <v>366</v>
      </c>
      <c r="B45" s="59" t="s">
        <v>279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59" t="s">
        <v>367</v>
      </c>
      <c r="B46" s="59" t="s">
        <v>279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59" t="s">
        <v>739</v>
      </c>
      <c r="B47" s="59" t="s">
        <v>279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</row>
    <row r="48" customFormat="false" ht="15" hidden="false" customHeight="false" outlineLevel="0" collapsed="false">
      <c r="A48" s="58" t="s">
        <v>740</v>
      </c>
      <c r="B48" s="59" t="s">
        <v>93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8" t="s">
        <v>741</v>
      </c>
      <c r="B49" s="59" t="s">
        <v>279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8" t="s">
        <v>354</v>
      </c>
      <c r="B50" s="59" t="s">
        <v>97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</row>
    <row r="51" customFormat="false" ht="15" hidden="false" customHeight="false" outlineLevel="0" collapsed="false">
      <c r="A51" s="59" t="s">
        <v>742</v>
      </c>
      <c r="B51" s="59" t="s">
        <v>93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</row>
    <row r="52" customFormat="false" ht="15" hidden="false" customHeight="false" outlineLevel="0" collapsed="false">
      <c r="A52" s="59" t="s">
        <v>743</v>
      </c>
      <c r="B52" s="59" t="s">
        <v>97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</row>
    <row r="53" customFormat="false" ht="15" hidden="false" customHeight="false" outlineLevel="0" collapsed="false">
      <c r="A53" s="59" t="s">
        <v>744</v>
      </c>
      <c r="B53" s="59" t="s">
        <v>93</v>
      </c>
      <c r="C53" s="108" t="n">
        <f aca="false">INDEX(Calib!$C$70:$G$70,C$6)*C52*C50*INDEX(CAL_BatchEtaD,1,C$6)</f>
        <v>0.0536325502498254</v>
      </c>
      <c r="D53" s="108" t="n">
        <f aca="false">INDEX(Calib!$C$70:$G$70,D$6)*D52*D50*INDEX(CAL_BatchEtaD,1,D$6)</f>
        <v>0.0536325502498254</v>
      </c>
      <c r="E53" s="108" t="n">
        <f aca="false">INDEX(Calib!$C$70:$G$70,E$6)*E52*E50*INDEX(CAL_BatchEtaD,1,E$6)</f>
        <v>0.0536325502498254</v>
      </c>
      <c r="F53" s="108" t="n">
        <f aca="false">INDEX(Calib!$C$70:$G$70,F$6)*F52*F50*INDEX(CAL_BatchEtaD,1,F$6)</f>
        <v>0.0357550334998836</v>
      </c>
      <c r="G53" s="108" t="n">
        <f aca="false">INDEX(Calib!$C$70:$G$70,G$6)*G52*G50*INDEX(CAL_BatchEtaD,1,G$6)</f>
        <v>0.0357550334998836</v>
      </c>
      <c r="H53" s="108" t="n">
        <f aca="false">INDEX(Calib!$C$70:$G$70,H$6)*H52*H50*INDEX(CAL_BatchEtaD,1,H$6)</f>
        <v>0.0357550334998836</v>
      </c>
      <c r="I53" s="108" t="n">
        <f aca="false">INDEX(Calib!$C$70:$G$70,I$6)*I52*I50*INDEX(CAL_BatchEtaD,1,I$6)</f>
        <v>0.0357550334998836</v>
      </c>
      <c r="J53" s="108" t="n">
        <f aca="false">INDEX(Calib!$C$70:$G$70,J$6)*J52*J50*INDEX(CAL_BatchEtaD,1,J$6)</f>
        <v>0.0357550334998836</v>
      </c>
      <c r="K53" s="108" t="n">
        <f aca="false">INDEX(Calib!$C$70:$G$70,K$6)*K52*K50*INDEX(CAL_BatchEtaD,1,K$6)</f>
        <v>0.0357550334998836</v>
      </c>
      <c r="L53" s="108" t="n">
        <f aca="false">INDEX(Calib!$C$70:$G$70,L$6)*L52*L50*INDEX(CAL_BatchEtaD,1,L$6)</f>
        <v>0.0268162751249127</v>
      </c>
      <c r="M53" s="108" t="n">
        <f aca="false">INDEX(Calib!$C$70:$G$70,M$6)*M52*M50*INDEX(CAL_BatchEtaD,1,M$6)</f>
        <v>0.0268162751249127</v>
      </c>
      <c r="N53" s="108" t="n">
        <f aca="false">INDEX(Calib!$C$70:$G$70,N$6)*N52*N50*INDEX(CAL_BatchEtaD,1,N$6)</f>
        <v>0.0268162751249127</v>
      </c>
      <c r="O53" s="108" t="n">
        <f aca="false">INDEX(Calib!$C$70:$G$70,O$6)*O52*O50*INDEX(CAL_BatchEtaD,1,O$6)</f>
        <v>0.0357550334998836</v>
      </c>
      <c r="P53" s="108" t="n">
        <f aca="false">INDEX(Calib!$C$70:$G$70,P$6)*P52*P50*INDEX(CAL_BatchEtaD,1,P$6)</f>
        <v>0.0357550334998836</v>
      </c>
      <c r="Q53" s="108" t="n">
        <f aca="false">INDEX(Calib!$C$70:$G$70,Q$6)*Q52*Q50*INDEX(CAL_BatchEtaD,1,Q$6)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745</v>
      </c>
      <c r="B54" s="59" t="s">
        <v>97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</row>
    <row r="55" customFormat="false" ht="15" hidden="false" customHeight="false" outlineLevel="0" collapsed="false">
      <c r="A55" s="58" t="s">
        <v>746</v>
      </c>
      <c r="B55" s="59" t="s">
        <v>502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59" t="s">
        <v>747</v>
      </c>
      <c r="B56" s="59" t="s">
        <v>93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8" t="s">
        <v>748</v>
      </c>
      <c r="B57" s="59" t="s">
        <v>93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8" t="s">
        <v>749</v>
      </c>
      <c r="B58" s="59" t="s">
        <v>93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59" t="s">
        <v>750</v>
      </c>
      <c r="B59" s="59" t="s">
        <v>258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</row>
    <row r="60" customFormat="false" ht="15" hidden="false" customHeight="false" outlineLevel="0" collapsed="false">
      <c r="A60" s="59" t="s">
        <v>751</v>
      </c>
      <c r="B60" s="59" t="s">
        <v>93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59" t="s">
        <v>752</v>
      </c>
      <c r="B61" s="59" t="s">
        <v>93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8" t="s">
        <v>753</v>
      </c>
      <c r="B62" s="59" t="s">
        <v>467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</row>
    <row r="63" customFormat="false" ht="15" hidden="false" customHeight="false" outlineLevel="0" collapsed="false">
      <c r="A63" s="73" t="s">
        <v>754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755</v>
      </c>
      <c r="B64" s="59" t="s">
        <v>279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59" t="s">
        <v>480</v>
      </c>
      <c r="B65" s="59" t="s">
        <v>481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59" t="s">
        <v>756</v>
      </c>
      <c r="B66" s="59" t="s">
        <v>279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59" t="s">
        <v>483</v>
      </c>
      <c r="B67" s="59" t="s">
        <v>481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757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484</v>
      </c>
      <c r="B69" s="59" t="s">
        <v>303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8" t="s">
        <v>758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</row>
    <row r="71" customFormat="false" ht="15" hidden="false" customHeight="false" outlineLevel="0" collapsed="false">
      <c r="A71" s="59" t="s">
        <v>759</v>
      </c>
      <c r="B71" s="59" t="s">
        <v>719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8" t="s">
        <v>487</v>
      </c>
      <c r="B72" s="59" t="s">
        <v>303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8" t="s">
        <v>760</v>
      </c>
      <c r="B73" s="59" t="s">
        <v>93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761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762</v>
      </c>
      <c r="B75" s="59" t="s">
        <v>359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59" t="s">
        <v>763</v>
      </c>
      <c r="B76" s="59" t="s">
        <v>362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59" t="s">
        <v>764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3" t="s">
        <v>765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766</v>
      </c>
      <c r="B79" s="59" t="s">
        <v>492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8" t="s">
        <v>767</v>
      </c>
      <c r="B80" s="59" t="s">
        <v>492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8" t="s">
        <v>768</v>
      </c>
      <c r="B81" s="59" t="s">
        <v>492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769</v>
      </c>
      <c r="B82" s="59" t="s">
        <v>492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770</v>
      </c>
      <c r="B83" s="59" t="s">
        <v>492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8" t="s">
        <v>771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59" t="s">
        <v>772</v>
      </c>
      <c r="B85" s="58" t="s">
        <v>496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59" t="s">
        <v>773</v>
      </c>
      <c r="B86" s="58" t="s">
        <v>496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774</v>
      </c>
      <c r="B87" s="58" t="s">
        <v>496</v>
      </c>
      <c r="C87" s="110" t="n">
        <f aca="false">MAX(0,MIN(C85,C86))</f>
        <v>77.1791602721487</v>
      </c>
      <c r="D87" s="110" t="n">
        <f aca="false">MAX(0,MIN(D85,D86))</f>
        <v>20.0598158574984</v>
      </c>
      <c r="E87" s="110" t="n">
        <f aca="false">MAX(0,MIN(E85,E86))</f>
        <v>4.55968903269538</v>
      </c>
      <c r="F87" s="110" t="n">
        <f aca="false">MAX(0,MIN(F85,F86))</f>
        <v>272.307505014644</v>
      </c>
      <c r="G87" s="110" t="n">
        <f aca="false">MAX(0,MIN(G85,G86))</f>
        <v>73.9768604853229</v>
      </c>
      <c r="H87" s="110" t="n">
        <f aca="false">MAX(0,MIN(H85,H86))</f>
        <v>16.9508160062901</v>
      </c>
      <c r="I87" s="110" t="n">
        <f aca="false">MAX(0,MIN(I85,I86))</f>
        <v>408.461257521966</v>
      </c>
      <c r="J87" s="110" t="n">
        <f aca="false">MAX(0,MIN(J85,J86))</f>
        <v>110.965290727984</v>
      </c>
      <c r="K87" s="110" t="n">
        <f aca="false">MAX(0,MIN(K85,K86))</f>
        <v>24.5055979744523</v>
      </c>
      <c r="L87" s="110" t="n">
        <f aca="false">MAX(0,MIN(L85,L86))</f>
        <v>719.7769766194</v>
      </c>
      <c r="M87" s="110" t="n">
        <f aca="false">MAX(0,MIN(M85,M86))</f>
        <v>200.916139130242</v>
      </c>
      <c r="N87" s="110" t="n">
        <f aca="false">MAX(0,MIN(N85,N86))</f>
        <v>47.1303448425309</v>
      </c>
      <c r="O87" s="110" t="n">
        <f aca="false">MAX(0,MIN(O85,O86))</f>
        <v>1923.00842261957</v>
      </c>
      <c r="P87" s="110" t="n">
        <f aca="false">MAX(0,MIN(P85,P86))</f>
        <v>541.016127272645</v>
      </c>
      <c r="Q87" s="110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59" t="s">
        <v>775</v>
      </c>
      <c r="B88" s="59" t="s">
        <v>359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776</v>
      </c>
      <c r="B89" s="59" t="s">
        <v>359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8" t="s">
        <v>777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58" t="str">
        <f aca="false">IF(R87&lt;=0,"SLO 不可達",IF(R85&lt;=R86,"SLO（"&amp;R84&amp;"）","HBM 容量"))</f>
        <v>SLO（算力）</v>
      </c>
      <c r="S90" s="5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9" t="s">
        <v>778</v>
      </c>
      <c r="B91" s="59" t="s">
        <v>93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779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780</v>
      </c>
      <c r="B93" s="59" t="s">
        <v>781</v>
      </c>
      <c r="C93" s="112" t="n">
        <f aca="false">IF(C88&gt;0,C43/C75+C44/C88,"SLO 不可達")</f>
        <v>5.75312169485197</v>
      </c>
      <c r="D93" s="112" t="n">
        <f aca="false">IF(D88&gt;0,D43/D75+D44/D88,"SLO 不可達")</f>
        <v>44.4693141798769</v>
      </c>
      <c r="E93" s="112" t="n">
        <f aca="false">IF(E88&gt;0,E43/E75+E44/E88,"SLO 不可達")</f>
        <v>381.425705248593</v>
      </c>
      <c r="F93" s="112" t="n">
        <f aca="false">IF(F88&gt;0,F43/F75+F44/F88,"SLO 不可達")</f>
        <v>1.54829019509718</v>
      </c>
      <c r="G93" s="112" t="n">
        <f aca="false">IF(G88&gt;0,G43/G75+G44/G88,"SLO 不可達")</f>
        <v>11.4328835637132</v>
      </c>
      <c r="H93" s="112" t="n">
        <f aca="false">IF(H88&gt;0,H43/H75+H44/H88,"SLO 不可達")</f>
        <v>98.8420960720572</v>
      </c>
      <c r="I93" s="112" t="n">
        <f aca="false">IF(I88&gt;0,I43/I75+I44/I88,"SLO 不可達")</f>
        <v>1.03219346339812</v>
      </c>
      <c r="J93" s="112" t="n">
        <f aca="false">IF(J88&gt;0,J43/J75+J44/J88,"SLO 不可達")</f>
        <v>7.62192237580878</v>
      </c>
      <c r="K93" s="112" t="n">
        <f aca="false">IF(K88&gt;0,K43/K75+K44/K88,"SLO 不可達")</f>
        <v>68.3155145929587</v>
      </c>
      <c r="L93" s="112" t="n">
        <f aca="false">IF(L88&gt;0,L43/L75+L44/L88,"SLO 不可達")</f>
        <v>0.581667550797239</v>
      </c>
      <c r="M93" s="112" t="n">
        <f aca="false">IF(M88&gt;0,M43/M75+M44/M88,"SLO 不可達")</f>
        <v>4.17993747553638</v>
      </c>
      <c r="N93" s="112" t="n">
        <f aca="false">IF(N88&gt;0,N43/N75+N44/N88,"SLO 不可達")</f>
        <v>35.3877323490646</v>
      </c>
      <c r="O93" s="112" t="n">
        <f aca="false">IF(O88&gt;0,O43/O75+O44/O88,"SLO 不可達")</f>
        <v>0.219300782747588</v>
      </c>
      <c r="P93" s="112" t="n">
        <f aca="false">IF(P88&gt;0,P43/P75+P44/P88,"SLO 不可達")</f>
        <v>1.56549498961155</v>
      </c>
      <c r="Q93" s="112" t="n">
        <f aca="false">IF(Q88&gt;0,Q43/Q75+Q44/Q88,"SLO 不可達")</f>
        <v>13.0124962012397</v>
      </c>
      <c r="R93" s="112" t="n">
        <f aca="false">IF(R88&gt;0,R43/R75+R44/R88,"SLO 不可達")</f>
        <v>6.37426851660065</v>
      </c>
      <c r="S93" s="112" t="n">
        <f aca="false">IF(S88&gt;0,S43/S75+S44/S88,"SLO 不可達")</f>
        <v>54.1254347961996</v>
      </c>
    </row>
    <row r="94" customFormat="false" ht="15" hidden="false" customHeight="false" outlineLevel="0" collapsed="false">
      <c r="A94" s="59" t="s">
        <v>782</v>
      </c>
      <c r="B94" s="59" t="s">
        <v>93</v>
      </c>
      <c r="C94" s="83" t="n">
        <f aca="false">IF(ISNUMBER(C93),IF(C93&gt;0,(C43/C75)/C93,0),C93)</f>
        <v>0.0775213188006939</v>
      </c>
      <c r="D94" s="83" t="n">
        <f aca="false">IF(ISNUMBER(D93),IF(D93&gt;0,(D43/D75)/D93,0),D93)</f>
        <v>0.0816619692652938</v>
      </c>
      <c r="E94" s="83" t="n">
        <f aca="false">IF(ISNUMBER(E93),IF(E93&gt;0,(E43/E75)/E93,0),E93)</f>
        <v>0.0579482595558304</v>
      </c>
      <c r="F94" s="83" t="n">
        <f aca="false">IF(ISNUMBER(F93),IF(F93&gt;0,(F43/F75)/F93,0),F93)</f>
        <v>0.0284884382147146</v>
      </c>
      <c r="G94" s="83" t="n">
        <f aca="false">IF(ISNUMBER(G93),IF(G93&gt;0,(G43/G75)/G93,0),G93)</f>
        <v>0.0314138229287931</v>
      </c>
      <c r="H94" s="83" t="n">
        <f aca="false">IF(ISNUMBER(H93),IF(H93&gt;0,(H43/H75)/H93,0),H93)</f>
        <v>0.0221159041787377</v>
      </c>
      <c r="I94" s="83" t="n">
        <f aca="false">IF(ISNUMBER(I93),IF(I93&gt;0,(I43/I75)/I93,0),I93)</f>
        <v>0.0284884382147146</v>
      </c>
      <c r="J94" s="83" t="n">
        <f aca="false">IF(ISNUMBER(J93),IF(J93&gt;0,(J43/J75)/J93,0),J93)</f>
        <v>0.0314138229287931</v>
      </c>
      <c r="K94" s="83" t="n">
        <f aca="false">IF(ISNUMBER(K93),IF(K93&gt;0,(K43/K75)/K93,0),K93)</f>
        <v>0.0213322194680554</v>
      </c>
      <c r="L94" s="83" t="n">
        <f aca="false">IF(ISNUMBER(L93),IF(L93&gt;0,(L43/L75)/L93,0),L93)</f>
        <v>0.0216659693084227</v>
      </c>
      <c r="M94" s="83" t="n">
        <f aca="false">IF(ISNUMBER(M93),IF(M93&gt;0,(M43/M75)/M93,0),M93)</f>
        <v>0.0245492790220612</v>
      </c>
      <c r="N94" s="83" t="n">
        <f aca="false">IF(ISNUMBER(N93),IF(N93&gt;0,(N43/N75)/N93,0),N93)</f>
        <v>0.0176492342761422</v>
      </c>
      <c r="O94" s="83" t="n">
        <f aca="false">IF(ISNUMBER(O93),IF(O93&gt;0,(O43/O75)/O93,0),O93)</f>
        <v>0.0287331197485592</v>
      </c>
      <c r="P94" s="83" t="n">
        <f aca="false">IF(ISNUMBER(P93),IF(P93&gt;0,(P43/P75)/P93,0),P93)</f>
        <v>0.0327738038328614</v>
      </c>
      <c r="Q94" s="83" t="n">
        <f aca="false">IF(ISNUMBER(Q93),IF(Q93&gt;0,(Q43/Q75)/Q93,0),Q93)</f>
        <v>0.0239987151224127</v>
      </c>
      <c r="R94" s="83" t="n">
        <f aca="false">IF(ISNUMBER(R93),IF(R93&gt;0,(R43/R75)/R93,0),R93)</f>
        <v>0.0321964633634343</v>
      </c>
      <c r="S94" s="83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58" t="s">
        <v>783</v>
      </c>
      <c r="B95" s="59" t="s">
        <v>359</v>
      </c>
      <c r="C95" s="68" t="n">
        <f aca="false">IF(ISNUMBER(C93),IF(C93&gt;0,C22*(C43+C44)/C93,0),C93)</f>
        <v>68348.2847845647</v>
      </c>
      <c r="D95" s="68" t="n">
        <f aca="false">IF(ISNUMBER(D93),IF(D93&gt;0,D22*(D43+D44)/D93,0),D93)</f>
        <v>17684.8241198168</v>
      </c>
      <c r="E95" s="68" t="n">
        <f aca="false">IF(ISNUMBER(E93),IF(E93&gt;0,E22*(E43+E44)/E93,0),E93)</f>
        <v>4123.64446956948</v>
      </c>
      <c r="F95" s="68" t="n">
        <f aca="false">IF(ISNUMBER(F93),IF(F93&gt;0,F22*(F43+F44)/F93,0),F93)</f>
        <v>571427.761282483</v>
      </c>
      <c r="G95" s="68" t="n">
        <f aca="false">IF(ISNUMBER(G93),IF(G93&gt;0,G22*(G43+G44)/G93,0),G93)</f>
        <v>154770.403296691</v>
      </c>
      <c r="H95" s="68" t="n">
        <f aca="false">IF(ISNUMBER(H93),IF(H93&gt;0,H22*(H43+H44)/H93,0),H93)</f>
        <v>35804.0161088861</v>
      </c>
      <c r="I95" s="68" t="n">
        <f aca="false">IF(ISNUMBER(I93),IF(I93&gt;0,I22*(I43+I44)/I93,0),I93)</f>
        <v>857141.641923725</v>
      </c>
      <c r="J95" s="68" t="n">
        <f aca="false">IF(ISNUMBER(J93),IF(J93&gt;0,J22*(J43+J44)/J93,0),J93)</f>
        <v>232155.604945037</v>
      </c>
      <c r="K95" s="68" t="n">
        <f aca="false">IF(ISNUMBER(K93),IF(K93&gt;0,K22*(K43+K44)/K93,0),K93)</f>
        <v>51802.9326293732</v>
      </c>
      <c r="L95" s="68" t="n">
        <f aca="false">IF(ISNUMBER(L93),IF(L93&gt;0,L22*(L43+L44)/L93,0),L93)</f>
        <v>1521033.79118772</v>
      </c>
      <c r="M95" s="68" t="n">
        <f aca="false">IF(ISNUMBER(M93),IF(M93&gt;0,M22*(M43+M44)/M93,0),M93)</f>
        <v>423324.992384709</v>
      </c>
      <c r="N95" s="68" t="n">
        <f aca="false">IF(ISNUMBER(N93),IF(N93&gt;0,N22*(N43+N44)/N93,0),N93)</f>
        <v>100004.825544962</v>
      </c>
      <c r="O95" s="68" t="n">
        <f aca="false">IF(ISNUMBER(O93),IF(O93&gt;0,O22*(O43+O44)/O93,0),O93)</f>
        <v>4034349.4852835</v>
      </c>
      <c r="P95" s="68" t="n">
        <f aca="false">IF(ISNUMBER(P93),IF(P93&gt;0,P22*(P43+P44)/P93,0),P93)</f>
        <v>1130295.53702951</v>
      </c>
      <c r="Q95" s="68" t="n">
        <f aca="false">IF(ISNUMBER(Q93),IF(Q93&gt;0,Q22*(Q43+Q44)/Q93,0),Q93)</f>
        <v>271965.03616753</v>
      </c>
      <c r="R95" s="65" t="n">
        <f aca="false">IF(ISNUMBER(R93),IF(R93&gt;0,R22*(R43+R44)/R93,0),R93)</f>
        <v>277596.087361511</v>
      </c>
      <c r="S95" s="65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58" t="s">
        <v>784</v>
      </c>
      <c r="B96" s="59" t="s">
        <v>359</v>
      </c>
      <c r="C96" s="65" t="n">
        <f aca="false">IF(ISNUMBER(C95),C95*C44/(C43+C44),C95)</f>
        <v>45565.5231897098</v>
      </c>
      <c r="D96" s="65" t="n">
        <f aca="false">IF(ISNUMBER(D95),D95*D44/(D43+D44),D95)</f>
        <v>11789.8827465446</v>
      </c>
      <c r="E96" s="65" t="n">
        <f aca="false">IF(ISNUMBER(E95),E95*E44/(E43+E44),E95)</f>
        <v>2749.09631304632</v>
      </c>
      <c r="F96" s="65" t="n">
        <f aca="false">IF(ISNUMBER(F95),F95*F44/(F43+F44),F95)</f>
        <v>380951.840854989</v>
      </c>
      <c r="G96" s="65" t="n">
        <f aca="false">IF(ISNUMBER(G95),G95*G44/(G43+G44),G95)</f>
        <v>103180.268864461</v>
      </c>
      <c r="H96" s="65" t="n">
        <f aca="false">IF(ISNUMBER(H95),H95*H44/(H43+H44),H95)</f>
        <v>23869.3440725907</v>
      </c>
      <c r="I96" s="65" t="n">
        <f aca="false">IF(ISNUMBER(I95),I95*I44/(I43+I44),I95)</f>
        <v>571427.761282483</v>
      </c>
      <c r="J96" s="65" t="n">
        <f aca="false">IF(ISNUMBER(J95),J95*J44/(J43+J44),J95)</f>
        <v>154770.403296691</v>
      </c>
      <c r="K96" s="65" t="n">
        <f aca="false">IF(ISNUMBER(K95),K95*K44/(K43+K44),K95)</f>
        <v>34535.2884195821</v>
      </c>
      <c r="L96" s="65" t="n">
        <f aca="false">IF(ISNUMBER(L95),L95*L44/(L43+L44),L95)</f>
        <v>1014022.52745848</v>
      </c>
      <c r="M96" s="65" t="n">
        <f aca="false">IF(ISNUMBER(M95),M95*M44/(M43+M44),M95)</f>
        <v>282216.661589806</v>
      </c>
      <c r="N96" s="65" t="n">
        <f aca="false">IF(ISNUMBER(N95),N95*N44/(N43+N44),N95)</f>
        <v>66669.8836966412</v>
      </c>
      <c r="O96" s="65" t="n">
        <f aca="false">IF(ISNUMBER(O95),O95*O44/(O43+O44),O95)</f>
        <v>2689566.32352234</v>
      </c>
      <c r="P96" s="65" t="n">
        <f aca="false">IF(ISNUMBER(P95),P95*P44/(P43+P44),P95)</f>
        <v>753530.358019676</v>
      </c>
      <c r="Q96" s="65" t="n">
        <f aca="false">IF(ISNUMBER(Q95),Q95*Q44/(Q43+Q44),Q95)</f>
        <v>181310.024111687</v>
      </c>
      <c r="R96" s="65" t="n">
        <f aca="false">IF(ISNUMBER(R95),R95*R44/(R43+R44),R95)</f>
        <v>185064.058241007</v>
      </c>
      <c r="S96" s="65" t="n">
        <f aca="false">IF(ISNUMBER(S95),S95*S44/(S43+S44),S95)</f>
        <v>43589.4142723017</v>
      </c>
    </row>
    <row r="97" customFormat="false" ht="15" hidden="false" customHeight="false" outlineLevel="0" collapsed="false">
      <c r="A97" s="58" t="s">
        <v>785</v>
      </c>
      <c r="B97" s="59" t="s">
        <v>359</v>
      </c>
      <c r="C97" s="65" t="n">
        <f aca="false">IF(ISNUMBER(C95),C95-C96,C95)</f>
        <v>22782.7615948549</v>
      </c>
      <c r="D97" s="65" t="n">
        <f aca="false">IF(ISNUMBER(D95),D95-D96,D95)</f>
        <v>5894.94137327228</v>
      </c>
      <c r="E97" s="65" t="n">
        <f aca="false">IF(ISNUMBER(E95),E95-E96,E95)</f>
        <v>1374.54815652316</v>
      </c>
      <c r="F97" s="65" t="n">
        <f aca="false">IF(ISNUMBER(F95),F95-F96,F95)</f>
        <v>190475.920427494</v>
      </c>
      <c r="G97" s="65" t="n">
        <f aca="false">IF(ISNUMBER(G95),G95-G96,G95)</f>
        <v>51590.1344322304</v>
      </c>
      <c r="H97" s="65" t="n">
        <f aca="false">IF(ISNUMBER(H95),H95-H96,H95)</f>
        <v>11934.6720362954</v>
      </c>
      <c r="I97" s="65" t="n">
        <f aca="false">IF(ISNUMBER(I95),I95-I96,I95)</f>
        <v>285713.880641242</v>
      </c>
      <c r="J97" s="65" t="n">
        <f aca="false">IF(ISNUMBER(J95),J95-J96,J95)</f>
        <v>77385.2016483456</v>
      </c>
      <c r="K97" s="65" t="n">
        <f aca="false">IF(ISNUMBER(K95),K95-K96,K95)</f>
        <v>17267.6442097911</v>
      </c>
      <c r="L97" s="65" t="n">
        <f aca="false">IF(ISNUMBER(L95),L95-L96,L95)</f>
        <v>507011.26372924</v>
      </c>
      <c r="M97" s="65" t="n">
        <f aca="false">IF(ISNUMBER(M95),M95-M96,M95)</f>
        <v>141108.330794903</v>
      </c>
      <c r="N97" s="65" t="n">
        <f aca="false">IF(ISNUMBER(N95),N95-N96,N95)</f>
        <v>33334.9418483206</v>
      </c>
      <c r="O97" s="65" t="n">
        <f aca="false">IF(ISNUMBER(O95),O95-O96,O95)</f>
        <v>1344783.16176117</v>
      </c>
      <c r="P97" s="65" t="n">
        <f aca="false">IF(ISNUMBER(P95),P95-P96,P95)</f>
        <v>376765.179009838</v>
      </c>
      <c r="Q97" s="65" t="n">
        <f aca="false">IF(ISNUMBER(Q95),Q95-Q96,Q95)</f>
        <v>90655.0120558433</v>
      </c>
      <c r="R97" s="65" t="n">
        <f aca="false">IF(ISNUMBER(R95),R95-R96,R95)</f>
        <v>92532.0291205036</v>
      </c>
      <c r="S97" s="65" t="n">
        <f aca="false">IF(ISNUMBER(S95),S95-S96,S95)</f>
        <v>21794.7071361509</v>
      </c>
    </row>
    <row r="98" customFormat="false" ht="15" hidden="false" customHeight="false" outlineLevel="0" collapsed="false">
      <c r="A98" s="58" t="s">
        <v>786</v>
      </c>
      <c r="B98" s="59" t="s">
        <v>787</v>
      </c>
      <c r="C98" s="68" t="n">
        <f aca="false">IF(ISNUMBER(C95),C95*C25*8760*3600/1000000,C95)</f>
        <v>48365727629.6888</v>
      </c>
      <c r="D98" s="68" t="n">
        <f aca="false">IF(ISNUMBER(D95),D95*D25*8760*3600/1000000,D95)</f>
        <v>12514423577.0372</v>
      </c>
      <c r="E98" s="68" t="n">
        <f aca="false">IF(ISNUMBER(E95),E95*E25*8760*3600/1000000,E95)</f>
        <v>2918040531.45619</v>
      </c>
      <c r="F98" s="68" t="n">
        <f aca="false">IF(ISNUMBER(F95),F95*F25*8760*3600/1000000,F95)</f>
        <v>125585184236.357</v>
      </c>
      <c r="G98" s="68" t="n">
        <f aca="false">IF(ISNUMBER(G95),G95*G25*8760*3600/1000000,G95)</f>
        <v>34014570045.9619</v>
      </c>
      <c r="H98" s="68" t="n">
        <f aca="false">IF(ISNUMBER(H95),H95*H25*8760*3600/1000000,H95)</f>
        <v>7868805585.05652</v>
      </c>
      <c r="I98" s="68" t="n">
        <f aca="false">IF(ISNUMBER(I95),I95*I25*8760*3600/1000000,I95)</f>
        <v>182836458496.495</v>
      </c>
      <c r="J98" s="68" t="n">
        <f aca="false">IF(ISNUMBER(J95),J95*J25*8760*3600/1000000,J95)</f>
        <v>49520996941.6458</v>
      </c>
      <c r="K98" s="68" t="n">
        <f aca="false">IF(ISNUMBER(K95),K95*K25*8760*3600/1000000,K95)</f>
        <v>11050057864.917</v>
      </c>
      <c r="L98" s="68" t="n">
        <f aca="false">IF(ISNUMBER(L95),L95*L25*8760*3600/1000000,L95)</f>
        <v>194363587280.806</v>
      </c>
      <c r="M98" s="68" t="n">
        <f aca="false">IF(ISNUMBER(M95),M95*M25*8760*3600/1000000,M95)</f>
        <v>54094106641.2887</v>
      </c>
      <c r="N98" s="68" t="n">
        <f aca="false">IF(ISNUMBER(N95),N95*N25*8760*3600/1000000,N95)</f>
        <v>12779003826.8197</v>
      </c>
      <c r="O98" s="68" t="n">
        <f aca="false">IF(ISNUMBER(O95),O95*O25*8760*3600/1000000,O95)</f>
        <v>344149698720.171</v>
      </c>
      <c r="P98" s="68" t="n">
        <f aca="false">IF(ISNUMBER(P95),P95*P25*8760*3600/1000000,P95)</f>
        <v>96419725150.8382</v>
      </c>
      <c r="Q98" s="68" t="n">
        <f aca="false">IF(ISNUMBER(Q95),Q95*Q25*8760*3600/1000000,Q95)</f>
        <v>23199944774.4668</v>
      </c>
      <c r="R98" s="65" t="n">
        <f aca="false">IF(ISNUMBER(R95),R95*R25*8760*3600/1000000,R95)</f>
        <v>35472302895.1041</v>
      </c>
      <c r="S98" s="65" t="n">
        <f aca="false">IF(ISNUMBER(S95),S95*S25*8760*3600/1000000,S95)</f>
        <v>8355036200.89017</v>
      </c>
    </row>
    <row r="99" customFormat="false" ht="15" hidden="false" customHeight="false" outlineLevel="0" collapsed="false">
      <c r="A99" s="58" t="s">
        <v>788</v>
      </c>
      <c r="B99" s="59" t="s">
        <v>787</v>
      </c>
      <c r="C99" s="65" t="n">
        <f aca="false">IF(ISNUMBER(C96),C96*C25*8760*3600/1000000,C96)</f>
        <v>32243818419.7925</v>
      </c>
      <c r="D99" s="65" t="n">
        <f aca="false">IF(ISNUMBER(D96),D96*D25*8760*3600/1000000,D96)</f>
        <v>8342949051.35816</v>
      </c>
      <c r="E99" s="65" t="n">
        <f aca="false">IF(ISNUMBER(E96),E96*E25*8760*3600/1000000,E96)</f>
        <v>1945360354.30413</v>
      </c>
      <c r="F99" s="65" t="n">
        <f aca="false">IF(ISNUMBER(F96),F96*F25*8760*3600/1000000,F96)</f>
        <v>83723456157.5712</v>
      </c>
      <c r="G99" s="65" t="n">
        <f aca="false">IF(ISNUMBER(G96),G96*G25*8760*3600/1000000,G96)</f>
        <v>22676380030.6413</v>
      </c>
      <c r="H99" s="65" t="n">
        <f aca="false">IF(ISNUMBER(H96),H96*H25*8760*3600/1000000,H96)</f>
        <v>5245870390.03768</v>
      </c>
      <c r="I99" s="65" t="n">
        <f aca="false">IF(ISNUMBER(I96),I96*I25*8760*3600/1000000,I96)</f>
        <v>121890972330.997</v>
      </c>
      <c r="J99" s="65" t="n">
        <f aca="false">IF(ISNUMBER(J96),J96*J25*8760*3600/1000000,J96)</f>
        <v>33013997961.0972</v>
      </c>
      <c r="K99" s="65" t="n">
        <f aca="false">IF(ISNUMBER(K96),K96*K25*8760*3600/1000000,K96)</f>
        <v>7366705243.27801</v>
      </c>
      <c r="L99" s="65" t="n">
        <f aca="false">IF(ISNUMBER(L96),L96*L25*8760*3600/1000000,L96)</f>
        <v>129575724853.871</v>
      </c>
      <c r="M99" s="65" t="n">
        <f aca="false">IF(ISNUMBER(M96),M96*M25*8760*3600/1000000,M96)</f>
        <v>36062737760.8591</v>
      </c>
      <c r="N99" s="65" t="n">
        <f aca="false">IF(ISNUMBER(N96),N96*N25*8760*3600/1000000,N96)</f>
        <v>8519335884.54648</v>
      </c>
      <c r="O99" s="65" t="n">
        <f aca="false">IF(ISNUMBER(O96),O96*O25*8760*3600/1000000,O96)</f>
        <v>229433132480.114</v>
      </c>
      <c r="P99" s="65" t="n">
        <f aca="false">IF(ISNUMBER(P96),P96*P25*8760*3600/1000000,P96)</f>
        <v>64279816767.2255</v>
      </c>
      <c r="Q99" s="65" t="n">
        <f aca="false">IF(ISNUMBER(Q96),Q96*Q25*8760*3600/1000000,Q96)</f>
        <v>15466629849.6445</v>
      </c>
      <c r="R99" s="65" t="n">
        <f aca="false">IF(ISNUMBER(R96),R96*R25*8760*3600/1000000,R96)</f>
        <v>23648201930.0694</v>
      </c>
      <c r="S99" s="65" t="n">
        <f aca="false">IF(ISNUMBER(S96),S96*S25*8760*3600/1000000,S96)</f>
        <v>5570024133.92678</v>
      </c>
    </row>
    <row r="100" customFormat="false" ht="15" hidden="false" customHeight="false" outlineLevel="0" collapsed="false">
      <c r="A100" s="73" t="s">
        <v>789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790</v>
      </c>
      <c r="B101" s="59" t="s">
        <v>791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8" t="s">
        <v>792</v>
      </c>
      <c r="B102" s="59" t="s">
        <v>791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  <c r="R102" s="113" t="n">
        <f aca="false">1000000*R34/(R62*1000000000000)</f>
        <v>0.03965</v>
      </c>
      <c r="S102" s="113" t="n">
        <f aca="false">1000000*S34/(S62*1000000000000)</f>
        <v>0.576</v>
      </c>
    </row>
    <row r="103" customFormat="false" ht="15" hidden="false" customHeight="false" outlineLevel="0" collapsed="false">
      <c r="A103" s="59" t="s">
        <v>793</v>
      </c>
      <c r="B103" s="59" t="s">
        <v>791</v>
      </c>
      <c r="C103" s="72" t="n">
        <f aca="false">IF(C88&gt;0,1000000/C88,"SLO 不可達")</f>
        <v>647.843275615986</v>
      </c>
      <c r="D103" s="72" t="n">
        <f aca="false">IF(D88&gt;0,1000000/D88,"SLO 不可達")</f>
        <v>2492.54531323676</v>
      </c>
      <c r="E103" s="72" t="n">
        <f aca="false">IF(E88&gt;0,1000000/E88,"SLO 不可達")</f>
        <v>10965.660079333</v>
      </c>
      <c r="F103" s="72" t="n">
        <f aca="false">IF(F88&gt;0,1000000/F88,"SLO 不可達")</f>
        <v>183.615945499964</v>
      </c>
      <c r="G103" s="72" t="n">
        <f aca="false">IF(G88&gt;0,1000000/G88,"SLO 不可達")</f>
        <v>675.887022941722</v>
      </c>
      <c r="H103" s="72" t="n">
        <f aca="false">IF(H88&gt;0,1000000/H88,"SLO 不可達")</f>
        <v>2949.71050251776</v>
      </c>
      <c r="I103" s="72" t="n">
        <f aca="false">IF(I88&gt;0,1000000/I88,"SLO 不可達")</f>
        <v>122.410630333309</v>
      </c>
      <c r="J103" s="72" t="n">
        <f aca="false">IF(J88&gt;0,1000000/J88,"SLO 不可達")</f>
        <v>450.591348627815</v>
      </c>
      <c r="K103" s="72" t="n">
        <f aca="false">IF(K88&gt;0,1000000/K88,"SLO 不可達")</f>
        <v>2040.35012947353</v>
      </c>
      <c r="L103" s="72" t="n">
        <f aca="false">IF(L88&gt;0,1000000/L88,"SLO 不可達")</f>
        <v>69.4659618522901</v>
      </c>
      <c r="M103" s="72" t="n">
        <f aca="false">IF(M88&gt;0,1000000/M88,"SLO 不可達")</f>
        <v>248.860047861003</v>
      </c>
      <c r="N103" s="72" t="n">
        <f aca="false">IF(N88&gt;0,1000000/N88,"SLO 不可達")</f>
        <v>1060.88763337202</v>
      </c>
      <c r="O103" s="72" t="n">
        <f aca="false">IF(O88&gt;0,1000000/O88,"SLO 不可達")</f>
        <v>26.0009261591734</v>
      </c>
      <c r="P103" s="72" t="n">
        <f aca="false">IF(P88&gt;0,1000000/P88,"SLO 不可達")</f>
        <v>92.4186867627377</v>
      </c>
      <c r="Q103" s="72" t="n">
        <f aca="false">IF(Q88&gt;0,1000000/Q88,"SLO 不可達")</f>
        <v>387.579742794027</v>
      </c>
      <c r="R103" s="72" t="n">
        <f aca="false">IF(R88&gt;0,1000000/R88,"SLO 不可達")</f>
        <v>376.528296742994</v>
      </c>
      <c r="S103" s="72" t="n">
        <f aca="false">IF(S88&gt;0,1000000/S88,"SLO 不可達")</f>
        <v>1613.65667842833</v>
      </c>
    </row>
    <row r="104" customFormat="false" ht="15" hidden="false" customHeight="false" outlineLevel="0" collapsed="false">
      <c r="A104" s="58" t="s">
        <v>794</v>
      </c>
      <c r="B104" s="59" t="s">
        <v>795</v>
      </c>
      <c r="C104" s="114" t="n">
        <f aca="false">INDEX(DC_Cost!$C$58:$Q$58,3*(C$6-1)+2)/3600*C101</f>
        <v>0.0466567645968462</v>
      </c>
      <c r="D104" s="114" t="n">
        <f aca="false">INDEX(DC_Cost!$C$58:$Q$58,3*(D$6-1)+2)/3600*D101</f>
        <v>0.189950390649496</v>
      </c>
      <c r="E104" s="114" t="n">
        <f aca="false">INDEX(DC_Cost!$C$58:$Q$58,3*(E$6-1)+2)/3600*E101</f>
        <v>0.578069784659289</v>
      </c>
      <c r="F104" s="114" t="n">
        <f aca="false">INDEX(DC_Cost!$C$58:$Q$58,3*(F$6-1)+2)/3600*F101</f>
        <v>0.00600788980335461</v>
      </c>
      <c r="G104" s="114" t="n">
        <f aca="false">INDEX(DC_Cost!$C$58:$Q$58,3*(G$6-1)+2)/3600*G101</f>
        <v>0.0244594974595275</v>
      </c>
      <c r="H104" s="114" t="n">
        <f aca="false">INDEX(DC_Cost!$C$58:$Q$58,3*(H$6-1)+2)/3600*H101</f>
        <v>0.0744367852098492</v>
      </c>
      <c r="I104" s="114" t="n">
        <f aca="false">INDEX(DC_Cost!$C$58:$Q$58,3*(I$6-1)+2)/3600*I101</f>
        <v>0.00508875827770772</v>
      </c>
      <c r="J104" s="114" t="n">
        <f aca="false">INDEX(DC_Cost!$C$58:$Q$58,3*(J$6-1)+2)/3600*J101</f>
        <v>0.0207175021912423</v>
      </c>
      <c r="K104" s="114" t="n">
        <f aca="false">INDEX(DC_Cost!$C$58:$Q$58,3*(K$6-1)+2)/3600*K101</f>
        <v>0.0630488939213012</v>
      </c>
      <c r="L104" s="114" t="n">
        <f aca="false">INDEX(DC_Cost!$C$58:$Q$58,3*(L$6-1)+2)/3600*L101</f>
        <v>0.00408836886484789</v>
      </c>
      <c r="M104" s="114" t="n">
        <f aca="false">INDEX(DC_Cost!$C$58:$Q$58,3*(M$6-1)+2)/3600*M101</f>
        <v>0.0166446874254454</v>
      </c>
      <c r="N104" s="114" t="n">
        <f aca="false">INDEX(DC_Cost!$C$58:$Q$58,3*(N$6-1)+2)/3600*N101</f>
        <v>0.0506542305222363</v>
      </c>
      <c r="O104" s="114" t="n">
        <f aca="false">INDEX(DC_Cost!$C$58:$Q$58,3*(O$6-1)+2)/3600*O101</f>
        <v>0.00384584550116992</v>
      </c>
      <c r="P104" s="114" t="n">
        <f aca="false">INDEX(DC_Cost!$C$58:$Q$58,3*(P$6-1)+2)/3600*P101</f>
        <v>0.0156573191826982</v>
      </c>
      <c r="Q104" s="114" t="n">
        <f aca="false">INDEX(DC_Cost!$C$58:$Q$58,3*(Q$6-1)+2)/3600*Q101</f>
        <v>0.0476494051806685</v>
      </c>
      <c r="R104" s="92" t="n">
        <f aca="false">INDEX(DC_Cost!$C$58:$Q$58,3*(R$6-1)+2)/3600*R101</f>
        <v>0.0332893748508908</v>
      </c>
      <c r="S104" s="92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796</v>
      </c>
      <c r="B105" s="59" t="s">
        <v>795</v>
      </c>
      <c r="C105" s="114" t="n">
        <f aca="false">IF(ISNUMBER(C103),INDEX(DC_Cost!$C$58:$Q$58,3*(C$6-1)+2)/3600*C103,C103)</f>
        <v>0.277600222365798</v>
      </c>
      <c r="D105" s="114" t="n">
        <f aca="false">IF(ISNUMBER(D103),INDEX(DC_Cost!$C$58:$Q$58,3*(D$6-1)+2)/3600*D103,D103)</f>
        <v>1.06805327654817</v>
      </c>
      <c r="E105" s="114" t="n">
        <f aca="false">IF(ISNUMBER(E103),INDEX(DC_Cost!$C$58:$Q$58,3*(E$6-1)+2)/3600*E103,E103)</f>
        <v>4.69877482870561</v>
      </c>
      <c r="F105" s="114" t="n">
        <f aca="false">IF(ISNUMBER(F103),INDEX(DC_Cost!$C$58:$Q$58,3*(F$6-1)+2)/3600*F103,F103)</f>
        <v>0.10244040690999</v>
      </c>
      <c r="G105" s="114" t="n">
        <f aca="false">IF(ISNUMBER(G103),INDEX(DC_Cost!$C$58:$Q$58,3*(G$6-1)+2)/3600*G103,G103)</f>
        <v>0.377081312120276</v>
      </c>
      <c r="H105" s="114" t="n">
        <f aca="false">IF(ISNUMBER(H103),INDEX(DC_Cost!$C$58:$Q$58,3*(H$6-1)+2)/3600*H103,H103)</f>
        <v>1.64566069314851</v>
      </c>
      <c r="I105" s="114" t="n">
        <f aca="false">IF(ISNUMBER(I103),INDEX(DC_Cost!$C$58:$Q$58,3*(I$6-1)+2)/3600*I103,I103)</f>
        <v>0.08676831395008</v>
      </c>
      <c r="J105" s="114" t="n">
        <f aca="false">IF(ISNUMBER(J103),INDEX(DC_Cost!$C$58:$Q$58,3*(J$6-1)+2)/3600*J103,J103)</f>
        <v>0.319392617246326</v>
      </c>
      <c r="K105" s="114" t="n">
        <f aca="false">IF(ISNUMBER(K103),INDEX(DC_Cost!$C$58:$Q$58,3*(K$6-1)+2)/3600*K103,K103)</f>
        <v>1.44626116310482</v>
      </c>
      <c r="L105" s="114" t="n">
        <f aca="false">IF(ISNUMBER(L103),INDEX(DC_Cost!$C$58:$Q$58,3*(L$6-1)+2)/3600*L103,L103)</f>
        <v>0.0923058260990347</v>
      </c>
      <c r="M105" s="114" t="n">
        <f aca="false">IF(ISNUMBER(M103),INDEX(DC_Cost!$C$58:$Q$58,3*(M$6-1)+2)/3600*M103,M103)</f>
        <v>0.330683282694629</v>
      </c>
      <c r="N105" s="114" t="n">
        <f aca="false">IF(ISNUMBER(N103),INDEX(DC_Cost!$C$58:$Q$58,3*(N$6-1)+2)/3600*N103,N103)</f>
        <v>1.40969917907249</v>
      </c>
      <c r="O105" s="114" t="n">
        <f aca="false">IF(ISNUMBER(O103),INDEX(DC_Cost!$C$58:$Q$58,3*(O$6-1)+2)/3600*O103,O103)</f>
        <v>0.0650006402809367</v>
      </c>
      <c r="P105" s="114" t="n">
        <f aca="false">IF(ISNUMBER(P103),INDEX(DC_Cost!$C$58:$Q$58,3*(P$6-1)+2)/3600*P103,P103)</f>
        <v>0.231040762806899</v>
      </c>
      <c r="Q105" s="114" t="n">
        <f aca="false">IF(ISNUMBER(Q103),INDEX(DC_Cost!$C$58:$Q$58,3*(Q$6-1)+2)/3600*Q103,Q103)</f>
        <v>0.968924387050889</v>
      </c>
      <c r="R105" s="92" t="n">
        <f aca="false">IF(ISNUMBER(R103),INDEX(DC_Cost!$C$58:$Q$58,3*(R$6-1)+2)/3600*R103,R103)</f>
        <v>0.500327851997903</v>
      </c>
      <c r="S105" s="92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3" t="s">
        <v>797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798</v>
      </c>
      <c r="B107" s="59" t="s">
        <v>799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0.0617142857142857</v>
      </c>
      <c r="S107" s="115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9" t="s">
        <v>800</v>
      </c>
      <c r="B108" s="59" t="s">
        <v>727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</row>
    <row r="109" customFormat="false" ht="15" hidden="false" customHeight="false" outlineLevel="0" collapsed="false">
      <c r="A109" s="59" t="s">
        <v>801</v>
      </c>
      <c r="B109" s="59" t="s">
        <v>481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59" t="s">
        <v>802</v>
      </c>
      <c r="B110" s="59" t="s">
        <v>303</v>
      </c>
      <c r="C110" s="112" t="n">
        <f aca="false">IF(C87&gt;0,(C72+C87*C34*C45/1000000000)/(C87*C49),0)</f>
        <v>0.0589891914424428</v>
      </c>
      <c r="D110" s="112" t="n">
        <f aca="false">IF(D87&gt;0,(D72+D87*D34*D45/1000000000)/(D87*D49),0)</f>
        <v>0.710964564255253</v>
      </c>
      <c r="E110" s="112" t="n">
        <f aca="false">IF(E87&gt;0,(E72+E87*E34*E45/1000000000)/(E87*E49),0)</f>
        <v>4.28619027271571</v>
      </c>
      <c r="F110" s="112" t="n">
        <f aca="false">IF(F87&gt;0,(F72+F87*F34*F45/1000000000)/(F87*F49),0)</f>
        <v>0.0239853045689392</v>
      </c>
      <c r="G110" s="112" t="n">
        <f aca="false">IF(G87&gt;0,(G72+G87*G34*G45/1000000000)/(G87*G49),0)</f>
        <v>0.282053064454993</v>
      </c>
      <c r="H110" s="112" t="n">
        <f aca="false">IF(H87&gt;0,(H72+H87*H34*H45/1000000000)/(H87*H49),0)</f>
        <v>2.83895352616057</v>
      </c>
      <c r="I110" s="112" t="n">
        <f aca="false">IF(I87&gt;0,(I72+I87*I34*I45/1000000000)/(I87*I49),0)</f>
        <v>0.0190033152975715</v>
      </c>
      <c r="J110" s="112" t="n">
        <f aca="false">IF(J87&gt;0,(J72+J87*J34*J45/1000000000)/(J87*J49),0)</f>
        <v>0.196584206412553</v>
      </c>
      <c r="K110" s="112" t="n">
        <f aca="false">IF(K87&gt;0,(K72+K87*K34*K45/1000000000)/(K87*K49),0)</f>
        <v>2.65455342010991</v>
      </c>
      <c r="L110" s="112" t="n">
        <f aca="false">IF(L87&gt;0,(L72+L87*L34*L45/1000000000)/(L87*L49),0)</f>
        <v>0.0146937260138575</v>
      </c>
      <c r="M110" s="112" t="n">
        <f aca="false">IF(M87&gt;0,(M72+M87*M34*M45/1000000000)/(M87*M49),0)</f>
        <v>0.120054801396405</v>
      </c>
      <c r="N110" s="112" t="n">
        <f aca="false">IF(N87&gt;0,(N72+N87*N34*N45/1000000000)/(N87*N49),0)</f>
        <v>1.73794607023658</v>
      </c>
      <c r="O110" s="112" t="n">
        <f aca="false">IF(O87&gt;0,(O72+O87*O34*O45/1000000000)/(O87*O49),0)</f>
        <v>0.0106530832296645</v>
      </c>
      <c r="P110" s="112" t="n">
        <f aca="false">IF(P87&gt;0,(P72+P87*P34*P45/1000000000)/(P87*P49),0)</f>
        <v>0.0505751304496475</v>
      </c>
      <c r="Q110" s="112" t="n">
        <f aca="false">IF(Q87&gt;0,(Q72+Q87*Q34*Q45/1000000000)/(Q87*Q49),0)</f>
        <v>1.00157966527806</v>
      </c>
      <c r="R110" s="112" t="n">
        <f aca="false">IF(R87&gt;0,(R72+R87*R34*R45/1000000000)/(R87*R49),0)</f>
        <v>0.232697207305857</v>
      </c>
      <c r="S110" s="112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9" t="s">
        <v>803</v>
      </c>
      <c r="B111" s="59" t="s">
        <v>303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59" t="s">
        <v>804</v>
      </c>
      <c r="B112" s="59" t="s">
        <v>805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59" t="s">
        <v>806</v>
      </c>
      <c r="B113" s="59" t="s">
        <v>805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8" t="s">
        <v>807</v>
      </c>
      <c r="B114" s="59" t="s">
        <v>731</v>
      </c>
      <c r="C114" s="72" t="n">
        <f aca="false">IF(ISNUMBER(C95),(C97*C113+C96*C112)/1000,C95)</f>
        <v>0.839899331635509</v>
      </c>
      <c r="D114" s="72" t="n">
        <f aca="false">IF(ISNUMBER(D95),(D97*D113+D96*D112)/1000,D95)</f>
        <v>0.95700850789187</v>
      </c>
      <c r="E114" s="72" t="n">
        <f aca="false">IF(ISNUMBER(E95),(E97*E113+E96*E112)/1000,E95)</f>
        <v>0.972357342616162</v>
      </c>
      <c r="F114" s="72" t="n">
        <f aca="false">IF(ISNUMBER(F95),(F97*F113+F96*F112)/1000,F95)</f>
        <v>2.36754843970606</v>
      </c>
      <c r="G114" s="72" t="n">
        <f aca="false">IF(ISNUMBER(G95),(G97*G113+G96*G112)/1000,G95)</f>
        <v>2.79287770234441</v>
      </c>
      <c r="H114" s="72" t="n">
        <f aca="false">IF(ISNUMBER(H95),(H97*H113+H96*H112)/1000,H95)</f>
        <v>3.47439900063841</v>
      </c>
      <c r="I114" s="72" t="n">
        <f aca="false">IF(ISNUMBER(I95),(I97*I113+I96*I112)/1000,I95)</f>
        <v>2.77346971472352</v>
      </c>
      <c r="J114" s="72" t="n">
        <f aca="false">IF(ISNUMBER(J95),(J97*J113+J96*J112)/1000,J95)</f>
        <v>3.17444998700417</v>
      </c>
      <c r="K114" s="72" t="n">
        <f aca="false">IF(ISNUMBER(K95),(K97*K113+K96*K112)/1000,K95)</f>
        <v>4.30245932344883</v>
      </c>
      <c r="L114" s="72" t="n">
        <f aca="false">IF(ISNUMBER(L95),(L97*L113+L96*L112)/1000,L95)</f>
        <v>2.76726027368164</v>
      </c>
      <c r="M114" s="72" t="n">
        <f aca="false">IF(ISNUMBER(M95),(M97*M113+M96*M112)/1000,M95)</f>
        <v>3.11868241484556</v>
      </c>
      <c r="N114" s="72" t="n">
        <f aca="false">IF(ISNUMBER(N95),(N97*N113+N96*N112)/1000,N95)</f>
        <v>4.48396659334732</v>
      </c>
      <c r="O114" s="72" t="n">
        <f aca="false">IF(ISNUMBER(O95),(O97*O113+O96*O112)/1000,O95)</f>
        <v>7.06515150690385</v>
      </c>
      <c r="P114" s="72" t="n">
        <f aca="false">IF(ISNUMBER(P95),(P97*P113+P96*P112)/1000,P95)</f>
        <v>7.20369261768011</v>
      </c>
      <c r="Q114" s="72" t="n">
        <f aca="false">IF(ISNUMBER(Q95),(Q97*Q113+Q96*Q112)/1000,Q95)</f>
        <v>9.16082784986032</v>
      </c>
      <c r="R114" s="72" t="n">
        <f aca="false">IF(ISNUMBER(R95),(R97*R113+R96*R112)/1000,R95)</f>
        <v>4.03972626245038</v>
      </c>
      <c r="S114" s="72" t="n">
        <f aca="false">IF(ISNUMBER(S95),(S97*S113+S96*S112)/1000,S95)</f>
        <v>5.11241319913998</v>
      </c>
    </row>
    <row r="115" customFormat="false" ht="15" hidden="false" customHeight="false" outlineLevel="0" collapsed="false">
      <c r="A115" s="58" t="s">
        <v>808</v>
      </c>
      <c r="B115" s="59" t="s">
        <v>731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  <c r="R115" s="96" t="n">
        <f aca="false">R26*Inputs!$E$10</f>
        <v>181.6</v>
      </c>
      <c r="S115" s="96" t="n">
        <f aca="false">S26*Inputs!$E$10</f>
        <v>181.6</v>
      </c>
    </row>
    <row r="116" customFormat="false" ht="15" hidden="false" customHeight="false" outlineLevel="0" collapsed="false">
      <c r="A116" s="58" t="s">
        <v>809</v>
      </c>
      <c r="B116" s="59" t="s">
        <v>93</v>
      </c>
      <c r="C116" s="116" t="n">
        <f aca="false">IF(ISNUMBER(C114),IF(C115&gt;0,C114/C115,0),C114)</f>
        <v>0.025606686940107</v>
      </c>
      <c r="D116" s="116" t="n">
        <f aca="false">IF(ISNUMBER(D114),IF(D115&gt;0,D114/D115,0),D114)</f>
        <v>0.0291770886552399</v>
      </c>
      <c r="E116" s="116" t="n">
        <f aca="false">IF(ISNUMBER(E114),IF(E115&gt;0,E114/E115,0),E114)</f>
        <v>0.0296450409334196</v>
      </c>
      <c r="F116" s="116" t="n">
        <f aca="false">IF(ISNUMBER(F114),IF(F115&gt;0,F114/F115,0),F114)</f>
        <v>0.0224199662850953</v>
      </c>
      <c r="G116" s="116" t="n">
        <f aca="false">IF(ISNUMBER(G114),IF(G115&gt;0,G114/G115,0),G114)</f>
        <v>0.0264477055146251</v>
      </c>
      <c r="H116" s="116" t="n">
        <f aca="false">IF(ISNUMBER(H114),IF(H115&gt;0,H114/H115,0),H114)</f>
        <v>0.0329015056878638</v>
      </c>
      <c r="I116" s="116" t="n">
        <f aca="false">IF(ISNUMBER(I114),IF(I115&gt;0,I114/I115,0),I114)</f>
        <v>0.0254914495838559</v>
      </c>
      <c r="J116" s="116" t="n">
        <f aca="false">IF(ISNUMBER(J114),IF(J115&gt;0,J114/J115,0),J114)</f>
        <v>0.0291769300276119</v>
      </c>
      <c r="K116" s="116" t="n">
        <f aca="false">IF(ISNUMBER(K114),IF(K115&gt;0,K114/K115,0),K114)</f>
        <v>0.0395446628993459</v>
      </c>
      <c r="L116" s="116" t="n">
        <f aca="false">IF(ISNUMBER(L114),IF(L115&gt;0,L114/L115,0),L114)</f>
        <v>0.0152382173660883</v>
      </c>
      <c r="M116" s="116" t="n">
        <f aca="false">IF(ISNUMBER(M114),IF(M115&gt;0,M114/M115,0),M114)</f>
        <v>0.0171733613152289</v>
      </c>
      <c r="N116" s="116" t="n">
        <f aca="false">IF(ISNUMBER(N114),IF(N115&gt;0,N114/N115,0),N114)</f>
        <v>0.0246914459986086</v>
      </c>
      <c r="O116" s="116" t="n">
        <f aca="false">IF(ISNUMBER(O114),IF(O115&gt;0,O114/O115,0),O114)</f>
        <v>0.0259748217165583</v>
      </c>
      <c r="P116" s="116" t="n">
        <f aca="false">IF(ISNUMBER(P114),IF(P115&gt;0,P114/P115,0),P114)</f>
        <v>0.0264841640355886</v>
      </c>
      <c r="Q116" s="116" t="n">
        <f aca="false">IF(ISNUMBER(Q114),IF(Q115&gt;0,Q114/Q115,0),Q114)</f>
        <v>0.0336795141538982</v>
      </c>
      <c r="R116" s="83" t="n">
        <f aca="false">IF(ISNUMBER(R114),IF(R115&gt;0,R114/R115,0),R114)</f>
        <v>0.022245188669881</v>
      </c>
      <c r="S116" s="83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59" t="s">
        <v>810</v>
      </c>
      <c r="B117" s="59" t="s">
        <v>811</v>
      </c>
      <c r="C117" s="117" t="n">
        <f aca="false">IF(ISNUMBER(C95),C95/(C115*1000),C95)</f>
        <v>2.08378917026112</v>
      </c>
      <c r="D117" s="117" t="n">
        <f aca="false">IF(ISNUMBER(D95),D95/(D115*1000),D95)</f>
        <v>0.539171467067586</v>
      </c>
      <c r="E117" s="117" t="n">
        <f aca="false">IF(ISNUMBER(E95),E95/(E115*1000),E95)</f>
        <v>0.125720867974679</v>
      </c>
      <c r="F117" s="117" t="n">
        <f aca="false">IF(ISNUMBER(F95),F95/(F115*1000),F95)</f>
        <v>5.41124773941745</v>
      </c>
      <c r="G117" s="117" t="n">
        <f aca="false">IF(ISNUMBER(G95),G95/(G115*1000),G95)</f>
        <v>1.46562881909746</v>
      </c>
      <c r="H117" s="117" t="n">
        <f aca="false">IF(ISNUMBER(H95),H95/(H115*1000),H95)</f>
        <v>0.3390531828493</v>
      </c>
      <c r="I117" s="117" t="n">
        <f aca="false">IF(ISNUMBER(I95),I95/(I115*1000),I95)</f>
        <v>7.87814009121071</v>
      </c>
      <c r="J117" s="117" t="n">
        <f aca="false">IF(ISNUMBER(J95),J95/(J115*1000),J95)</f>
        <v>2.133783133686</v>
      </c>
      <c r="K117" s="117" t="n">
        <f aca="false">IF(ISNUMBER(K95),K95/(K115*1000),K95)</f>
        <v>0.476129895490562</v>
      </c>
      <c r="L117" s="117" t="n">
        <f aca="false">IF(ISNUMBER(L95),L95/(L115*1000),L95)</f>
        <v>8.37573673561519</v>
      </c>
      <c r="M117" s="117" t="n">
        <f aca="false">IF(ISNUMBER(M95),M95/(M115*1000),M95)</f>
        <v>2.33108475982769</v>
      </c>
      <c r="N117" s="117" t="n">
        <f aca="false">IF(ISNUMBER(N95),N95/(N115*1000),N95)</f>
        <v>0.550687365335692</v>
      </c>
      <c r="O117" s="117" t="n">
        <f aca="false">IF(ISNUMBER(O95),O95/(O115*1000),O95)</f>
        <v>14.832167225307</v>
      </c>
      <c r="P117" s="117" t="n">
        <f aca="false">IF(ISNUMBER(P95),P95/(P115*1000),P95)</f>
        <v>4.15549829790262</v>
      </c>
      <c r="Q117" s="117" t="n">
        <f aca="false">IF(ISNUMBER(Q95),Q95/(Q115*1000),Q95)</f>
        <v>0.999871456498272</v>
      </c>
      <c r="R117" s="69" t="n">
        <f aca="false">IF(ISNUMBER(R95),R95/(R115*1000),R95)</f>
        <v>1.52861281586735</v>
      </c>
      <c r="S117" s="69" t="n">
        <f aca="false">IF(ISNUMBER(S95),S95/(S115*1000),S95)</f>
        <v>0.360044721412184</v>
      </c>
    </row>
    <row r="118" customFormat="false" ht="15" hidden="false" customHeight="false" outlineLevel="0" collapsed="false">
      <c r="A118" s="58" t="s">
        <v>812</v>
      </c>
      <c r="B118" s="59" t="s">
        <v>805</v>
      </c>
      <c r="C118" s="112" t="n">
        <f aca="false">IF(ISNUMBER(C96),IF(C96&gt;0,C115*1000*(1-C94)/C96,0),C96)</f>
        <v>0.664039357506386</v>
      </c>
      <c r="D118" s="112" t="n">
        <f aca="false">IF(ISNUMBER(D96),IF(D96&gt;0,D115*1000*(1-D94)/D96,0),D96)</f>
        <v>2.55485894606768</v>
      </c>
      <c r="E118" s="112" t="n">
        <f aca="false">IF(ISNUMBER(E96),IF(E96&gt;0,E115*1000*(1-E94)/E96,0),E96)</f>
        <v>11.2398015813163</v>
      </c>
      <c r="F118" s="112" t="n">
        <f aca="false">IF(ISNUMBER(F96),IF(F96&gt;0,F115*1000*(1-F94)/F96,0),F96)</f>
        <v>0.26930338673328</v>
      </c>
      <c r="G118" s="112" t="n">
        <f aca="false">IF(ISNUMBER(G96),IF(G96&gt;0,G115*1000*(1-G94)/G96,0),G96)</f>
        <v>0.991300966981193</v>
      </c>
      <c r="H118" s="112" t="n">
        <f aca="false">IF(ISNUMBER(H96),IF(H96&gt;0,H115*1000*(1-H94)/H96,0),H96)</f>
        <v>4.32624207035938</v>
      </c>
      <c r="I118" s="112" t="n">
        <f aca="false">IF(ISNUMBER(I96),IF(I96&gt;0,I115*1000*(1-I94)/I96,0),I96)</f>
        <v>0.184976063614778</v>
      </c>
      <c r="J118" s="112" t="n">
        <f aca="false">IF(ISNUMBER(J96),IF(J96&gt;0,J115*1000*(1-J94)/J96,0),J96)</f>
        <v>0.680893593482031</v>
      </c>
      <c r="K118" s="112" t="n">
        <f aca="false">IF(ISNUMBER(K96),IF(K96&gt;0,K115*1000*(1-K94)/K96,0),K96)</f>
        <v>3.08319575120444</v>
      </c>
      <c r="L118" s="112" t="n">
        <f aca="false">IF(ISNUMBER(L96),IF(L96&gt;0,L115*1000*(1-L94)/L96,0),L96)</f>
        <v>0.175208592671887</v>
      </c>
      <c r="M118" s="112" t="n">
        <f aca="false">IF(ISNUMBER(M96),IF(M96&gt;0,M115*1000*(1-M94)/M96,0),M96)</f>
        <v>0.627680342938307</v>
      </c>
      <c r="N118" s="112" t="n">
        <f aca="false">IF(ISNUMBER(N96),IF(N96&gt;0,N115*1000*(1-N94)/N96,0),N96)</f>
        <v>2.67579436417166</v>
      </c>
      <c r="O118" s="112" t="n">
        <f aca="false">IF(ISNUMBER(O96),IF(O96&gt;0,O115*1000*(1-O94)/O96,0),O96)</f>
        <v>0.0982257210457662</v>
      </c>
      <c r="P118" s="112" t="n">
        <f aca="false">IF(ISNUMBER(P96),IF(P96&gt;0,P115*1000*(1-P94)/P96,0),P96)</f>
        <v>0.349137261103676</v>
      </c>
      <c r="Q118" s="112" t="n">
        <f aca="false">IF(ISNUMBER(Q96),IF(Q96&gt;0,Q115*1000*(1-Q94)/Q96,0),Q96)</f>
        <v>1.4641901394441</v>
      </c>
      <c r="R118" s="112" t="n">
        <f aca="false">IF(ISNUMBER(R96),IF(R96&gt;0,R115*1000*(1-R94)/R96,0),R96)</f>
        <v>0.949688037340664</v>
      </c>
      <c r="S118" s="112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3" t="s">
        <v>986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59" t="s">
        <v>987</v>
      </c>
      <c r="B120" s="59" t="s">
        <v>93</v>
      </c>
      <c r="C120" s="101" t="n">
        <f aca="false">IF(C88&gt;0,C88*C65*1000000000/(C14*1000000000000000),0)</f>
        <v>0.030198693683281</v>
      </c>
      <c r="D120" s="101" t="n">
        <f aca="false">IF(D88&gt;0,D88*D65*1000000000/(D14*1000000000000000),0)</f>
        <v>0.0270258620573893</v>
      </c>
      <c r="E120" s="101" t="n">
        <f aca="false">IF(E88&gt;0,E88*E65*1000000000/(E14*1000000000000000),0)</f>
        <v>0.0240108880707045</v>
      </c>
      <c r="F120" s="101" t="n">
        <f aca="false">IF(F88&gt;0,F88*F65*1000000000/(F14*1000000000000000),0)</f>
        <v>0.0210859665436146</v>
      </c>
      <c r="G120" s="101" t="n">
        <f aca="false">IF(G88&gt;0,G88*G65*1000000000/(G14*1000000000000000),0)</f>
        <v>0.0197239686793334</v>
      </c>
      <c r="H120" s="101" t="n">
        <f aca="false">IF(H88&gt;0,H88*H65*1000000000/(H14*1000000000000000),0)</f>
        <v>0.0176648275535936</v>
      </c>
      <c r="I120" s="101" t="n">
        <f aca="false">IF(I88&gt;0,I88*I65*1000000000/(I14*1000000000000000),0)</f>
        <v>0.0210859665436146</v>
      </c>
      <c r="J120" s="101" t="n">
        <f aca="false">IF(J88&gt;0,J88*J65*1000000000/(J14*1000000000000000),0)</f>
        <v>0.0197239686793334</v>
      </c>
      <c r="K120" s="101" t="n">
        <f aca="false">IF(K88&gt;0,K88*K65*1000000000/(K14*1000000000000000),0)</f>
        <v>0.0170252241211969</v>
      </c>
      <c r="L120" s="101" t="n">
        <f aca="false">IF(L88&gt;0,L88*L65*1000000000/(L14*1000000000000000),0)</f>
        <v>0.0159244267899521</v>
      </c>
      <c r="M120" s="101" t="n">
        <f aca="false">IF(M88&gt;0,M88*M65*1000000000/(M14*1000000000000000),0)</f>
        <v>0.0153054177419389</v>
      </c>
      <c r="N120" s="101" t="n">
        <f aca="false">IF(N88&gt;0,N88*N65*1000000000/(N14*1000000000000000),0)</f>
        <v>0.0140330271479179</v>
      </c>
      <c r="O120" s="101" t="n">
        <f aca="false">IF(O88&gt;0,O88*O65*1000000000/(O14*1000000000000000),0)</f>
        <v>0.0212724273192884</v>
      </c>
      <c r="P120" s="101" t="n">
        <f aca="false">IF(P88&gt;0,P88*P65*1000000000/(P14*1000000000000000),0)</f>
        <v>0.0206068010984076</v>
      </c>
      <c r="Q120" s="101" t="n">
        <f aca="false">IF(Q88&gt;0,Q88*Q65*1000000000/(Q14*1000000000000000),0)</f>
        <v>0.0192056799107683</v>
      </c>
      <c r="R120" s="101" t="n">
        <f aca="false">IF(R88&gt;0,R88*R65*1000000000/(R14*1000000000000000),0)</f>
        <v>0.0202317171099168</v>
      </c>
      <c r="S120" s="101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9" t="s">
        <v>988</v>
      </c>
      <c r="B121" s="59" t="s">
        <v>93</v>
      </c>
      <c r="C121" s="141" t="n">
        <f aca="false">IF(C88&gt;0,C88*C65*1000000000/(INDEX(Spec_Rack!$C$40:$G$40,C$6)*1000000000000000),0)</f>
        <v>0.030198693683281</v>
      </c>
      <c r="D121" s="141" t="n">
        <f aca="false">IF(D88&gt;0,D88*D65*1000000000/(INDEX(Spec_Rack!$C$40:$G$40,D$6)*1000000000000000),0)</f>
        <v>0.0270258620573893</v>
      </c>
      <c r="E121" s="141" t="n">
        <f aca="false">IF(E88&gt;0,E88*E65*1000000000/(INDEX(Spec_Rack!$C$40:$G$40,E$6)*1000000000000000),0)</f>
        <v>0.0240108880707045</v>
      </c>
      <c r="F121" s="141" t="n">
        <f aca="false">IF(F88&gt;0,F88*F65*1000000000/(INDEX(Spec_Rack!$C$40:$G$40,F$6)*1000000000000000),0)</f>
        <v>0.0421719330872292</v>
      </c>
      <c r="G121" s="141" t="n">
        <f aca="false">IF(G88&gt;0,G88*G65*1000000000/(INDEX(Spec_Rack!$C$40:$G$40,G$6)*1000000000000000),0)</f>
        <v>0.0394479373586667</v>
      </c>
      <c r="H121" s="141" t="n">
        <f aca="false">IF(H88&gt;0,H88*H65*1000000000/(INDEX(Spec_Rack!$C$40:$G$40,H$6)*1000000000000000),0)</f>
        <v>0.0353296551071871</v>
      </c>
      <c r="I121" s="141" t="n">
        <f aca="false">IF(I88&gt;0,I88*I65*1000000000/(INDEX(Spec_Rack!$C$40:$G$40,I$6)*1000000000000000),0)</f>
        <v>0.0632578996308438</v>
      </c>
      <c r="J121" s="141" t="n">
        <f aca="false">IF(J88&gt;0,J88*J65*1000000000/(INDEX(Spec_Rack!$C$40:$G$40,J$6)*1000000000000000),0)</f>
        <v>0.0591719060380001</v>
      </c>
      <c r="K121" s="141" t="n">
        <f aca="false">IF(K88&gt;0,K88*K65*1000000000/(INDEX(Spec_Rack!$C$40:$G$40,K$6)*1000000000000000),0)</f>
        <v>0.0510756723635908</v>
      </c>
      <c r="L121" s="141" t="n">
        <f aca="false">IF(L88&gt;0,L88*L65*1000000000/(INDEX(Spec_Rack!$C$40:$G$40,L$6)*1000000000000000),0)</f>
        <v>0.0318488535799042</v>
      </c>
      <c r="M121" s="141" t="n">
        <f aca="false">IF(M88&gt;0,M88*M65*1000000000/(INDEX(Spec_Rack!$C$40:$G$40,M$6)*1000000000000000),0)</f>
        <v>0.0306108354838777</v>
      </c>
      <c r="N121" s="141" t="n">
        <f aca="false">IF(N88&gt;0,N88*N65*1000000000/(INDEX(Spec_Rack!$C$40:$G$40,N$6)*1000000000000000),0)</f>
        <v>0.0280660542958358</v>
      </c>
      <c r="O121" s="141" t="n">
        <f aca="false">IF(O88&gt;0,O88*O65*1000000000/(INDEX(Spec_Rack!$C$40:$G$40,O$6)*1000000000000000),0)</f>
        <v>0.0425448546385768</v>
      </c>
      <c r="P121" s="141" t="n">
        <f aca="false">IF(P88&gt;0,P88*P65*1000000000/(INDEX(Spec_Rack!$C$40:$G$40,P$6)*1000000000000000),0)</f>
        <v>0.0412136021968152</v>
      </c>
      <c r="Q121" s="141" t="n">
        <f aca="false">IF(Q88&gt;0,Q88*Q65*1000000000/(INDEX(Spec_Rack!$C$40:$G$40,Q$6)*1000000000000000),0)</f>
        <v>0.0384113598215367</v>
      </c>
      <c r="R121" s="141" t="n">
        <f aca="false">IF(R88&gt;0,R88*R65*1000000000/(INDEX(Spec_Rack!$C$40:$G$40,R$6)*1000000000000000),0)</f>
        <v>0.0202317171099168</v>
      </c>
      <c r="S121" s="141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989</v>
      </c>
    </row>
    <row r="2" customFormat="false" ht="15" hidden="false" customHeight="false" outlineLevel="0" collapsed="false">
      <c r="A2" s="71" t="s">
        <v>990</v>
      </c>
    </row>
    <row r="4" customFormat="false" ht="15" hidden="false" customHeight="false" outlineLevel="0" collapsed="false">
      <c r="A4" s="57" t="s">
        <v>165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7" t="s">
        <v>710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7" t="s">
        <v>440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7" t="s">
        <v>711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991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992</v>
      </c>
      <c r="B10" s="59" t="s">
        <v>464</v>
      </c>
      <c r="C10" s="92" t="n">
        <f aca="false">INDEX(Spec_Rack!$C$40:$G$40,C$6)</f>
        <v>1.979</v>
      </c>
      <c r="D10" s="92" t="n">
        <f aca="false">INDEX(Spec_Rack!$C$40:$G$40,D$6)</f>
        <v>1.979</v>
      </c>
      <c r="E10" s="92" t="n">
        <f aca="false">INDEX(Spec_Rack!$C$40:$G$40,E$6)</f>
        <v>1.979</v>
      </c>
      <c r="F10" s="92" t="n">
        <f aca="false">INDEX(Spec_Rack!$C$40:$G$40,F$6)</f>
        <v>5</v>
      </c>
      <c r="G10" s="92" t="n">
        <f aca="false">INDEX(Spec_Rack!$C$40:$G$40,G$6)</f>
        <v>5</v>
      </c>
      <c r="H10" s="92" t="n">
        <f aca="false">INDEX(Spec_Rack!$C$40:$G$40,H$6)</f>
        <v>5</v>
      </c>
      <c r="I10" s="92" t="n">
        <f aca="false">INDEX(Spec_Rack!$C$40:$G$40,I$6)</f>
        <v>5</v>
      </c>
      <c r="J10" s="92" t="n">
        <f aca="false">INDEX(Spec_Rack!$C$40:$G$40,J$6)</f>
        <v>5</v>
      </c>
      <c r="K10" s="92" t="n">
        <f aca="false">INDEX(Spec_Rack!$C$40:$G$40,K$6)</f>
        <v>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35</v>
      </c>
      <c r="P10" s="92" t="n">
        <f aca="false">INDEX(Spec_Rack!$C$40:$G$40,P$6)</f>
        <v>35</v>
      </c>
      <c r="Q10" s="92" t="n">
        <f aca="false">INDEX(Spec_Rack!$C$40:$G$40,Q$6)</f>
        <v>35</v>
      </c>
    </row>
    <row r="11" customFormat="false" ht="15" hidden="false" customHeight="false" outlineLevel="0" collapsed="false">
      <c r="A11" s="58" t="s">
        <v>993</v>
      </c>
      <c r="B11" s="59" t="s">
        <v>97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</row>
    <row r="12" customFormat="false" ht="15" hidden="false" customHeight="false" outlineLevel="0" collapsed="false">
      <c r="A12" s="58" t="s">
        <v>994</v>
      </c>
      <c r="B12" s="59" t="s">
        <v>464</v>
      </c>
      <c r="C12" s="113" t="n">
        <f aca="false">C10*C11</f>
        <v>1.979</v>
      </c>
      <c r="D12" s="113" t="n">
        <f aca="false">D10*D11</f>
        <v>1.979</v>
      </c>
      <c r="E12" s="113" t="n">
        <f aca="false">E10*E11</f>
        <v>1.979</v>
      </c>
      <c r="F12" s="113" t="n">
        <f aca="false">F10*F11</f>
        <v>5</v>
      </c>
      <c r="G12" s="113" t="n">
        <f aca="false">G10*G11</f>
        <v>5</v>
      </c>
      <c r="H12" s="113" t="n">
        <f aca="false">H10*H11</f>
        <v>5</v>
      </c>
      <c r="I12" s="113" t="n">
        <f aca="false">I10*I11</f>
        <v>5</v>
      </c>
      <c r="J12" s="113" t="n">
        <f aca="false">J10*J11</f>
        <v>5</v>
      </c>
      <c r="K12" s="113" t="n">
        <f aca="false">K10*K11</f>
        <v>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35</v>
      </c>
      <c r="P12" s="113" t="n">
        <f aca="false">P10*P11</f>
        <v>35</v>
      </c>
      <c r="Q12" s="113" t="n">
        <f aca="false">Q10*Q11</f>
        <v>35</v>
      </c>
    </row>
    <row r="13" customFormat="false" ht="15" hidden="false" customHeight="false" outlineLevel="0" collapsed="false">
      <c r="A13" s="58" t="s">
        <v>995</v>
      </c>
      <c r="B13" s="59" t="s">
        <v>93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59" t="s">
        <v>996</v>
      </c>
      <c r="B14" s="59" t="s">
        <v>97</v>
      </c>
      <c r="C14" s="95" t="n">
        <f aca="false">INDEX(Train_In!$C$21:$G$21,C$6)</f>
        <v>1</v>
      </c>
      <c r="D14" s="95" t="n">
        <f aca="false">INDEX(Train_In!$C$21:$G$21,D$6)</f>
        <v>1</v>
      </c>
      <c r="E14" s="95" t="n">
        <f aca="false">INDEX(Train_In!$C$21:$G$21,E$6)</f>
        <v>1</v>
      </c>
      <c r="F14" s="95" t="n">
        <f aca="false">INDEX(Train_In!$C$21:$G$21,F$6)</f>
        <v>1</v>
      </c>
      <c r="G14" s="95" t="n">
        <f aca="false">INDEX(Train_In!$C$21:$G$21,G$6)</f>
        <v>1</v>
      </c>
      <c r="H14" s="95" t="n">
        <f aca="false">INDEX(Train_In!$C$21:$G$21,H$6)</f>
        <v>1</v>
      </c>
      <c r="I14" s="95" t="n">
        <f aca="false">INDEX(Train_In!$C$21:$G$21,I$6)</f>
        <v>1</v>
      </c>
      <c r="J14" s="95" t="n">
        <f aca="false">INDEX(Train_In!$C$21:$G$21,J$6)</f>
        <v>1</v>
      </c>
      <c r="K14" s="95" t="n">
        <f aca="false">INDEX(Train_In!$C$21:$G$21,K$6)</f>
        <v>1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</row>
    <row r="15" customFormat="false" ht="15" hidden="false" customHeight="false" outlineLevel="0" collapsed="false">
      <c r="A15" s="58" t="s">
        <v>997</v>
      </c>
      <c r="B15" s="59" t="s">
        <v>97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</row>
    <row r="16" customFormat="false" ht="15" hidden="false" customHeight="false" outlineLevel="0" collapsed="false">
      <c r="A16" s="58" t="s">
        <v>998</v>
      </c>
      <c r="B16" s="59" t="s">
        <v>93</v>
      </c>
      <c r="C16" s="101" t="n">
        <f aca="false">C13*C14*C15</f>
        <v>0.25</v>
      </c>
      <c r="D16" s="101" t="n">
        <f aca="false">D13*D14*D15</f>
        <v>0.25</v>
      </c>
      <c r="E16" s="101" t="n">
        <f aca="false">E13*E14*E15</f>
        <v>0.25</v>
      </c>
      <c r="F16" s="101" t="n">
        <f aca="false">F13*F14*F15</f>
        <v>0.25</v>
      </c>
      <c r="G16" s="101" t="n">
        <f aca="false">G13*G14*G15</f>
        <v>0.25</v>
      </c>
      <c r="H16" s="101" t="n">
        <f aca="false">H13*H14*H15</f>
        <v>0.25</v>
      </c>
      <c r="I16" s="101" t="n">
        <f aca="false">I13*I14*I15</f>
        <v>0.25</v>
      </c>
      <c r="J16" s="101" t="n">
        <f aca="false">J13*J14*J15</f>
        <v>0.25</v>
      </c>
      <c r="K16" s="101" t="n">
        <f aca="false">K13*K14*K15</f>
        <v>0.25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</row>
    <row r="17" customFormat="false" ht="15" hidden="false" customHeight="false" outlineLevel="0" collapsed="false">
      <c r="A17" s="59" t="s">
        <v>999</v>
      </c>
      <c r="B17" s="59" t="s">
        <v>93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8" t="s">
        <v>1000</v>
      </c>
      <c r="B18" s="58" t="s">
        <v>723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1001</v>
      </c>
      <c r="B19" s="59" t="s">
        <v>840</v>
      </c>
      <c r="C19" s="93" t="n">
        <f aca="false">INDEX(DC_Cost!$C$58:$Q$58,3*(C$6-1)+2)</f>
        <v>1.54259654785589</v>
      </c>
      <c r="D19" s="93" t="n">
        <f aca="false">INDEX(DC_Cost!$C$58:$Q$58,3*(D$6-1)+2)</f>
        <v>1.54259654785589</v>
      </c>
      <c r="E19" s="93" t="n">
        <f aca="false">INDEX(DC_Cost!$C$58:$Q$58,3*(E$6-1)+2)</f>
        <v>1.54259654785589</v>
      </c>
      <c r="F19" s="93" t="n">
        <f aca="false">INDEX(DC_Cost!$C$58:$Q$58,3*(F$6-1)+2)</f>
        <v>2.00846099652078</v>
      </c>
      <c r="G19" s="93" t="n">
        <f aca="false">INDEX(DC_Cost!$C$58:$Q$58,3*(G$6-1)+2)</f>
        <v>2.00846099652078</v>
      </c>
      <c r="H19" s="93" t="n">
        <f aca="false">INDEX(DC_Cost!$C$58:$Q$58,3*(H$6-1)+2)</f>
        <v>2.00846099652078</v>
      </c>
      <c r="I19" s="93" t="n">
        <f aca="false">INDEX(DC_Cost!$C$58:$Q$58,3*(I$6-1)+2)</f>
        <v>2.55178761329595</v>
      </c>
      <c r="J19" s="93" t="n">
        <f aca="false">INDEX(DC_Cost!$C$58:$Q$58,3*(J$6-1)+2)</f>
        <v>2.55178761329595</v>
      </c>
      <c r="K19" s="93" t="n">
        <f aca="false">INDEX(DC_Cost!$C$58:$Q$58,3*(K$6-1)+2)</f>
        <v>2.55178761329595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8.99976806898525</v>
      </c>
      <c r="P19" s="93" t="n">
        <f aca="false">INDEX(DC_Cost!$C$58:$Q$58,3*(P$6-1)+2)</f>
        <v>8.99976806898525</v>
      </c>
      <c r="Q19" s="93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1002</v>
      </c>
      <c r="B20" s="59" t="s">
        <v>840</v>
      </c>
      <c r="C20" s="93" t="n">
        <f aca="false">INDEX(DC_Cost!$C$57:$Q$57,3*(C$6-1)+2)</f>
        <v>1.12941277108671</v>
      </c>
      <c r="D20" s="93" t="n">
        <f aca="false">INDEX(DC_Cost!$C$57:$Q$57,3*(D$6-1)+2)</f>
        <v>1.12941277108671</v>
      </c>
      <c r="E20" s="93" t="n">
        <f aca="false">INDEX(DC_Cost!$C$57:$Q$57,3*(E$6-1)+2)</f>
        <v>1.12941277108671</v>
      </c>
      <c r="F20" s="93" t="n">
        <f aca="false">INDEX(DC_Cost!$C$57:$Q$57,3*(F$6-1)+2)</f>
        <v>1.46722704621019</v>
      </c>
      <c r="G20" s="93" t="n">
        <f aca="false">INDEX(DC_Cost!$C$57:$Q$57,3*(G$6-1)+2)</f>
        <v>1.46722704621019</v>
      </c>
      <c r="H20" s="93" t="n">
        <f aca="false">INDEX(DC_Cost!$C$57:$Q$57,3*(H$6-1)+2)</f>
        <v>1.46722704621019</v>
      </c>
      <c r="I20" s="93" t="n">
        <f aca="false">INDEX(DC_Cost!$C$57:$Q$57,3*(I$6-1)+2)</f>
        <v>1.87284720011301</v>
      </c>
      <c r="J20" s="93" t="n">
        <f aca="false">INDEX(DC_Cost!$C$57:$Q$57,3*(J$6-1)+2)</f>
        <v>1.87284720011301</v>
      </c>
      <c r="K20" s="93" t="n">
        <f aca="false">INDEX(DC_Cost!$C$57:$Q$57,3*(K$6-1)+2)</f>
        <v>1.87284720011301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6.64357830075911</v>
      </c>
      <c r="P20" s="93" t="n">
        <f aca="false">INDEX(DC_Cost!$C$57:$Q$57,3*(P$6-1)+2)</f>
        <v>6.64357830075911</v>
      </c>
      <c r="Q20" s="93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732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8" t="s">
        <v>261</v>
      </c>
      <c r="B22" s="59" t="s">
        <v>258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8" t="s">
        <v>475</v>
      </c>
      <c r="B23" s="59" t="s">
        <v>301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8" t="s">
        <v>276</v>
      </c>
      <c r="B24" s="59" t="s">
        <v>93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8" t="s">
        <v>735</v>
      </c>
      <c r="B25" s="59" t="s">
        <v>279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8" t="s">
        <v>281</v>
      </c>
      <c r="B26" s="59" t="s">
        <v>97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8" t="s">
        <v>283</v>
      </c>
      <c r="B27" s="59" t="s">
        <v>279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59" t="s">
        <v>713</v>
      </c>
      <c r="B28" s="59" t="s">
        <v>97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</row>
    <row r="29" customFormat="false" ht="15" hidden="false" customHeight="false" outlineLevel="0" collapsed="false">
      <c r="A29" s="73" t="s">
        <v>1003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8" t="s">
        <v>1004</v>
      </c>
      <c r="B30" s="59" t="s">
        <v>97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95" t="n">
        <f aca="false">Tech_Registry!$E$27</f>
        <v>1</v>
      </c>
      <c r="L30" s="95" t="n">
        <f aca="false">Tech_Registry!$E$27</f>
        <v>1</v>
      </c>
      <c r="M30" s="95" t="n">
        <f aca="false">Tech_Registry!$E$27</f>
        <v>1</v>
      </c>
      <c r="N30" s="95" t="n">
        <f aca="false">Tech_Registry!$E$27</f>
        <v>1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</row>
    <row r="31" customFormat="false" ht="15" hidden="false" customHeight="false" outlineLevel="0" collapsed="false">
      <c r="A31" s="58" t="s">
        <v>941</v>
      </c>
      <c r="B31" s="59" t="s">
        <v>942</v>
      </c>
      <c r="C31" s="96" t="n">
        <f aca="false">INDEX(Train_In!$C$25:$E$25,C$7)*C30</f>
        <v>32</v>
      </c>
      <c r="D31" s="96" t="n">
        <f aca="false">INDEX(Train_In!$C$25:$E$25,D$7)*D30</f>
        <v>33</v>
      </c>
      <c r="E31" s="96" t="n">
        <f aca="false">INDEX(Train_In!$C$25:$E$25,E$7)*E30</f>
        <v>60</v>
      </c>
      <c r="F31" s="96" t="n">
        <f aca="false">INDEX(Train_In!$C$25:$E$25,F$7)*F30</f>
        <v>32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32</v>
      </c>
      <c r="J31" s="96" t="n">
        <f aca="false">INDEX(Train_In!$C$25:$E$25,J$7)*J30</f>
        <v>33</v>
      </c>
      <c r="K31" s="96" t="n">
        <f aca="false">INDEX(Train_In!$C$25:$E$25,K$7)*K30</f>
        <v>60</v>
      </c>
      <c r="L31" s="96" t="n">
        <f aca="false">INDEX(Train_In!$C$25:$E$25,L$7)*L30</f>
        <v>32</v>
      </c>
      <c r="M31" s="96" t="n">
        <f aca="false">INDEX(Train_In!$C$25:$E$25,M$7)*M30</f>
        <v>33</v>
      </c>
      <c r="N31" s="96" t="n">
        <f aca="false">INDEX(Train_In!$C$25:$E$25,N$7)*N30</f>
        <v>60</v>
      </c>
      <c r="O31" s="96" t="n">
        <f aca="false">INDEX(Train_In!$C$25:$E$25,O$7)*O30</f>
        <v>32</v>
      </c>
      <c r="P31" s="96" t="n">
        <f aca="false">INDEX(Train_In!$C$25:$E$25,P$7)*P30</f>
        <v>33</v>
      </c>
      <c r="Q31" s="96" t="n">
        <f aca="false">INDEX(Train_In!$C$25:$E$25,Q$7)*Q30</f>
        <v>60</v>
      </c>
    </row>
    <row r="32" customFormat="false" ht="15" hidden="false" customHeight="false" outlineLevel="0" collapsed="false">
      <c r="A32" s="58" t="s">
        <v>1005</v>
      </c>
      <c r="B32" s="59" t="s">
        <v>279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8" t="s">
        <v>1006</v>
      </c>
      <c r="B33" s="59" t="s">
        <v>279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8" t="s">
        <v>1007</v>
      </c>
      <c r="B34" s="59" t="s">
        <v>481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1008</v>
      </c>
      <c r="B35" s="59" t="s">
        <v>301</v>
      </c>
      <c r="C35" s="142" t="n">
        <f aca="false">C34*1000000000*C31*1000000000000</f>
        <v>3.604101562368E+024</v>
      </c>
      <c r="D35" s="142" t="n">
        <f aca="false">D34*1000000000*D31*1000000000000</f>
        <v>1.2944163437568E+025</v>
      </c>
      <c r="E35" s="142" t="n">
        <f aca="false">E34*1000000000*E31*1000000000000</f>
        <v>6.8423878656E+025</v>
      </c>
      <c r="F35" s="142" t="n">
        <f aca="false">F34*1000000000*F31*1000000000000</f>
        <v>3.604101562368E+024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3.604101562368E+024</v>
      </c>
      <c r="J35" s="142" t="n">
        <f aca="false">J34*1000000000*J31*1000000000000</f>
        <v>1.2944163437568E+025</v>
      </c>
      <c r="K35" s="142" t="n">
        <f aca="false">K34*1000000000*K31*1000000000000</f>
        <v>6.8423878656E+025</v>
      </c>
      <c r="L35" s="142" t="n">
        <f aca="false">L34*1000000000*L31*1000000000000</f>
        <v>3.604101562368E+024</v>
      </c>
      <c r="M35" s="142" t="n">
        <f aca="false">M34*1000000000*M31*1000000000000</f>
        <v>1.2944163437568E+025</v>
      </c>
      <c r="N35" s="142" t="n">
        <f aca="false">N34*1000000000*N31*1000000000000</f>
        <v>6.8423878656E+025</v>
      </c>
      <c r="O35" s="142" t="n">
        <f aca="false">O34*1000000000*O31*1000000000000</f>
        <v>3.604101562368E+024</v>
      </c>
      <c r="P35" s="142" t="n">
        <f aca="false">P34*1000000000*P31*1000000000000</f>
        <v>1.2944163437568E+025</v>
      </c>
      <c r="Q35" s="142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1009</v>
      </c>
      <c r="B36" s="59" t="s">
        <v>1010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1011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8" t="s">
        <v>1012</v>
      </c>
      <c r="B38" s="59" t="s">
        <v>942</v>
      </c>
      <c r="C38" s="96" t="n">
        <f aca="false">INDEX(Train_In!$C$27:$E$27,C$7)</f>
        <v>1</v>
      </c>
      <c r="D38" s="96" t="n">
        <f aca="false">INDEX(Train_In!$C$27:$E$27,D$7)</f>
        <v>1</v>
      </c>
      <c r="E38" s="96" t="n">
        <f aca="false">INDEX(Train_In!$C$27:$E$27,E$7)</f>
        <v>2</v>
      </c>
      <c r="F38" s="96" t="n">
        <f aca="false">INDEX(Train_In!$C$27:$E$27,F$7)</f>
        <v>1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1</v>
      </c>
      <c r="K38" s="96" t="n">
        <f aca="false">INDEX(Train_In!$C$27:$E$27,K$7)</f>
        <v>2</v>
      </c>
      <c r="L38" s="96" t="n">
        <f aca="false">INDEX(Train_In!$C$27:$E$27,L$7)</f>
        <v>1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1</v>
      </c>
      <c r="Q38" s="96" t="n">
        <f aca="false">INDEX(Train_In!$C$27:$E$27,Q$7)</f>
        <v>2</v>
      </c>
    </row>
    <row r="39" customFormat="false" ht="15" hidden="false" customHeight="false" outlineLevel="0" collapsed="false">
      <c r="A39" s="58" t="s">
        <v>1005</v>
      </c>
      <c r="B39" s="59" t="s">
        <v>279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8" t="s">
        <v>1013</v>
      </c>
      <c r="B40" s="59" t="s">
        <v>279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1007</v>
      </c>
      <c r="B41" s="59" t="s">
        <v>481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1014</v>
      </c>
      <c r="B42" s="59" t="s">
        <v>301</v>
      </c>
      <c r="C42" s="142" t="n">
        <f aca="false">C41*1000000000*C38*1000000000000</f>
        <v>1.19848148066304E+023</v>
      </c>
      <c r="D42" s="142" t="n">
        <f aca="false">D41*1000000000*D38*1000000000000</f>
        <v>4.09293296787456E+023</v>
      </c>
      <c r="E42" s="142" t="n">
        <f aca="false">E41*1000000000*E38*1000000000000</f>
        <v>4.0927352832E+024</v>
      </c>
      <c r="F42" s="142" t="n">
        <f aca="false">F41*1000000000*F38*1000000000000</f>
        <v>1.19848148066304E+023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1.19848148066304E+023</v>
      </c>
      <c r="J42" s="142" t="n">
        <f aca="false">J41*1000000000*J38*1000000000000</f>
        <v>4.09293296787456E+023</v>
      </c>
      <c r="K42" s="142" t="n">
        <f aca="false">K41*1000000000*K38*1000000000000</f>
        <v>4.0927352832E+024</v>
      </c>
      <c r="L42" s="142" t="n">
        <f aca="false">L41*1000000000*L38*1000000000000</f>
        <v>1.19848148066304E+023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1.19848148066304E+023</v>
      </c>
      <c r="P42" s="142" t="n">
        <f aca="false">P41*1000000000*P38*1000000000000</f>
        <v>4.09293296787456E+023</v>
      </c>
      <c r="Q42" s="142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1015</v>
      </c>
      <c r="B43" s="59" t="s">
        <v>1010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1016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59" t="s">
        <v>949</v>
      </c>
      <c r="B45" s="59" t="s">
        <v>942</v>
      </c>
      <c r="C45" s="93" t="n">
        <f aca="false">INDEX(Train_In!$C$29:$E$29,C$7)</f>
        <v>0.05</v>
      </c>
      <c r="D45" s="93" t="n">
        <f aca="false">INDEX(Train_In!$C$29:$E$29,D$7)</f>
        <v>0.05</v>
      </c>
      <c r="E45" s="93" t="n">
        <f aca="false">INDEX(Train_In!$C$29:$E$29,E$7)</f>
        <v>0.1</v>
      </c>
      <c r="F45" s="93" t="n">
        <f aca="false">INDEX(Train_In!$C$29:$E$29,F$7)</f>
        <v>0.05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0.05</v>
      </c>
      <c r="K45" s="93" t="n">
        <f aca="false">INDEX(Train_In!$C$29:$E$29,K$7)</f>
        <v>0.1</v>
      </c>
      <c r="L45" s="93" t="n">
        <f aca="false">INDEX(Train_In!$C$29:$E$29,L$7)</f>
        <v>0.05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0.05</v>
      </c>
      <c r="Q45" s="93" t="n">
        <f aca="false">INDEX(Train_In!$C$29:$E$29,Q$7)</f>
        <v>0.1</v>
      </c>
    </row>
    <row r="46" customFormat="false" ht="15" hidden="false" customHeight="false" outlineLevel="0" collapsed="false">
      <c r="A46" s="58" t="s">
        <v>1005</v>
      </c>
      <c r="B46" s="59" t="s">
        <v>279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8" t="s">
        <v>1013</v>
      </c>
      <c r="B47" s="59" t="s">
        <v>279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1007</v>
      </c>
      <c r="B48" s="59" t="s">
        <v>481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59" t="s">
        <v>1017</v>
      </c>
      <c r="B49" s="59" t="s">
        <v>301</v>
      </c>
      <c r="C49" s="142" t="n">
        <f aca="false">C48*1000000000*C45*1000000000000</f>
        <v>5.8075795255296E+021</v>
      </c>
      <c r="D49" s="142" t="n">
        <f aca="false">D48*1000000000*D45*1000000000000</f>
        <v>1.99187778514944E+022</v>
      </c>
      <c r="E49" s="142" t="n">
        <f aca="false">E48*1000000000*E45*1000000000000</f>
        <v>1.2007959552E+023</v>
      </c>
      <c r="F49" s="142" t="n">
        <f aca="false">F48*1000000000*F45*1000000000000</f>
        <v>5.8075795255296E+021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5.8075795255296E+021</v>
      </c>
      <c r="J49" s="142" t="n">
        <f aca="false">J48*1000000000*J45*1000000000000</f>
        <v>1.99187778514944E+022</v>
      </c>
      <c r="K49" s="142" t="n">
        <f aca="false">K48*1000000000*K45*1000000000000</f>
        <v>1.2007959552E+023</v>
      </c>
      <c r="L49" s="142" t="n">
        <f aca="false">L48*1000000000*L45*1000000000000</f>
        <v>5.8075795255296E+021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5.8075795255296E+021</v>
      </c>
      <c r="P49" s="142" t="n">
        <f aca="false">P48*1000000000*P45*1000000000000</f>
        <v>1.99187778514944E+022</v>
      </c>
      <c r="Q49" s="142" t="n">
        <f aca="false">Q48*1000000000*Q45*1000000000000</f>
        <v>1.2007959552E+023</v>
      </c>
    </row>
    <row r="50" customFormat="false" ht="15" hidden="false" customHeight="false" outlineLevel="0" collapsed="false">
      <c r="A50" s="59" t="s">
        <v>1018</v>
      </c>
      <c r="B50" s="59" t="s">
        <v>97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</row>
    <row r="51" customFormat="false" ht="15" hidden="false" customHeight="false" outlineLevel="0" collapsed="false">
      <c r="A51" s="59" t="s">
        <v>1019</v>
      </c>
      <c r="B51" s="59" t="s">
        <v>1010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1020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59" t="s">
        <v>1021</v>
      </c>
      <c r="B53" s="59" t="s">
        <v>942</v>
      </c>
      <c r="C53" s="96" t="n">
        <f aca="false">INDEX(Train_In!$C$34:$E$34,C$7)</f>
        <v>2.36</v>
      </c>
      <c r="D53" s="96" t="n">
        <f aca="false">INDEX(Train_In!$C$34:$E$34,D$7)</f>
        <v>2.36</v>
      </c>
      <c r="E53" s="96" t="n">
        <f aca="false">INDEX(Train_In!$C$34:$E$34,E$7)</f>
        <v>9.6</v>
      </c>
      <c r="F53" s="96" t="n">
        <f aca="false">INDEX(Train_In!$C$34:$E$34,F$7)</f>
        <v>2.36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2.36</v>
      </c>
      <c r="K53" s="96" t="n">
        <f aca="false">INDEX(Train_In!$C$34:$E$34,K$7)</f>
        <v>9.6</v>
      </c>
      <c r="L53" s="96" t="n">
        <f aca="false">INDEX(Train_In!$C$34:$E$34,L$7)</f>
        <v>2.36</v>
      </c>
      <c r="M53" s="96" t="n">
        <f aca="false">INDEX(Train_In!$C$34:$E$34,M$7)</f>
        <v>2.36</v>
      </c>
      <c r="N53" s="96" t="n">
        <f aca="false">INDEX(Train_In!$C$34:$E$34,N$7)</f>
        <v>9.6</v>
      </c>
      <c r="O53" s="96" t="n">
        <f aca="false">INDEX(Train_In!$C$34:$E$34,O$7)</f>
        <v>2.36</v>
      </c>
      <c r="P53" s="96" t="n">
        <f aca="false">INDEX(Train_In!$C$34:$E$34,P$7)</f>
        <v>2.36</v>
      </c>
      <c r="Q53" s="96" t="n">
        <f aca="false">INDEX(Train_In!$C$34:$E$34,Q$7)</f>
        <v>9.6</v>
      </c>
    </row>
    <row r="54" customFormat="false" ht="15" hidden="false" customHeight="false" outlineLevel="0" collapsed="false">
      <c r="A54" s="58" t="s">
        <v>1022</v>
      </c>
      <c r="B54" s="59" t="s">
        <v>279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1023</v>
      </c>
      <c r="B55" s="59" t="s">
        <v>279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1024</v>
      </c>
      <c r="B56" s="58" t="s">
        <v>316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59" t="s">
        <v>1025</v>
      </c>
      <c r="B57" s="58" t="s">
        <v>316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</row>
    <row r="58" customFormat="false" ht="15" hidden="false" customHeight="false" outlineLevel="0" collapsed="false">
      <c r="A58" s="58" t="s">
        <v>1026</v>
      </c>
      <c r="B58" s="59" t="s">
        <v>942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59" t="s">
        <v>1027</v>
      </c>
      <c r="B59" s="59" t="s">
        <v>791</v>
      </c>
      <c r="C59" s="96" t="n">
        <f aca="false">INDEX(Perf_Batch!$C$103:$Q$103,3*(C$6-1)+C$7)</f>
        <v>647.843275615986</v>
      </c>
      <c r="D59" s="96" t="n">
        <f aca="false">INDEX(Perf_Batch!$C$103:$Q$103,3*(D$6-1)+D$7)</f>
        <v>2492.54531323676</v>
      </c>
      <c r="E59" s="96" t="n">
        <f aca="false">INDEX(Perf_Batch!$C$103:$Q$103,3*(E$6-1)+E$7)</f>
        <v>10965.660079333</v>
      </c>
      <c r="F59" s="96" t="n">
        <f aca="false">INDEX(Perf_Batch!$C$103:$Q$103,3*(F$6-1)+F$7)</f>
        <v>183.615945499964</v>
      </c>
      <c r="G59" s="96" t="n">
        <f aca="false">INDEX(Perf_Batch!$C$103:$Q$103,3*(G$6-1)+G$7)</f>
        <v>675.887022941722</v>
      </c>
      <c r="H59" s="96" t="n">
        <f aca="false">INDEX(Perf_Batch!$C$103:$Q$103,3*(H$6-1)+H$7)</f>
        <v>2949.71050251776</v>
      </c>
      <c r="I59" s="96" t="n">
        <f aca="false">INDEX(Perf_Batch!$C$103:$Q$103,3*(I$6-1)+I$7)</f>
        <v>122.410630333309</v>
      </c>
      <c r="J59" s="96" t="n">
        <f aca="false">INDEX(Perf_Batch!$C$103:$Q$103,3*(J$6-1)+J$7)</f>
        <v>450.591348627815</v>
      </c>
      <c r="K59" s="96" t="n">
        <f aca="false">INDEX(Perf_Batch!$C$103:$Q$103,3*(K$6-1)+K$7)</f>
        <v>2040.35012947353</v>
      </c>
      <c r="L59" s="96" t="n">
        <f aca="false">INDEX(Perf_Batch!$C$103:$Q$103,3*(L$6-1)+L$7)</f>
        <v>69.4659618522901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26.0009261591734</v>
      </c>
      <c r="P59" s="96" t="n">
        <f aca="false">INDEX(Perf_Batch!$C$103:$Q$103,3*(P$6-1)+P$7)</f>
        <v>92.4186867627377</v>
      </c>
      <c r="Q59" s="96" t="n">
        <f aca="false">INDEX(Perf_Batch!$C$103:$Q$103,3*(Q$6-1)+Q$7)</f>
        <v>387.579742794027</v>
      </c>
    </row>
    <row r="60" customFormat="false" ht="15" hidden="false" customHeight="false" outlineLevel="0" collapsed="false">
      <c r="A60" s="59" t="s">
        <v>1028</v>
      </c>
      <c r="B60" s="59" t="s">
        <v>791</v>
      </c>
      <c r="C60" s="96" t="n">
        <f aca="false">INDEX(Perf_Batch!$C$101:$Q$101,3*(C$6-1)+C$7)</f>
        <v>108.884175050246</v>
      </c>
      <c r="D60" s="96" t="n">
        <f aca="false">INDEX(Perf_Batch!$C$101:$Q$101,3*(D$6-1)+D$7)</f>
        <v>443.292452124732</v>
      </c>
      <c r="E60" s="96" t="n">
        <f aca="false">INDEX(Perf_Batch!$C$101:$Q$101,3*(E$6-1)+E$7)</f>
        <v>1349.05735894843</v>
      </c>
      <c r="F60" s="96" t="n">
        <f aca="false">INDEX(Perf_Batch!$C$101:$Q$101,3*(F$6-1)+F$7)</f>
        <v>10.7686449124693</v>
      </c>
      <c r="G60" s="96" t="n">
        <f aca="false">INDEX(Perf_Batch!$C$101:$Q$101,3*(G$6-1)+G$7)</f>
        <v>43.841623515136</v>
      </c>
      <c r="H60" s="96" t="n">
        <f aca="false">INDEX(Perf_Batch!$C$101:$Q$101,3*(H$6-1)+H$7)</f>
        <v>133.4217728</v>
      </c>
      <c r="I60" s="96" t="n">
        <f aca="false">INDEX(Perf_Batch!$C$101:$Q$101,3*(I$6-1)+I$7)</f>
        <v>7.17909660831289</v>
      </c>
      <c r="J60" s="96" t="n">
        <f aca="false">INDEX(Perf_Batch!$C$101:$Q$101,3*(J$6-1)+J$7)</f>
        <v>29.2277490100907</v>
      </c>
      <c r="K60" s="96" t="n">
        <f aca="false">INDEX(Perf_Batch!$C$101:$Q$101,3*(K$6-1)+K$7)</f>
        <v>88.9478485333333</v>
      </c>
      <c r="L60" s="96" t="n">
        <f aca="false">INDEX(Perf_Batch!$C$101:$Q$101,3*(L$6-1)+L$7)</f>
        <v>3.07675568927695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1.53837784463848</v>
      </c>
      <c r="P60" s="96" t="n">
        <f aca="false">INDEX(Perf_Batch!$C$101:$Q$101,3*(P$6-1)+P$7)</f>
        <v>6.26308907359086</v>
      </c>
      <c r="Q60" s="96" t="n">
        <f aca="false">INDEX(Perf_Batch!$C$101:$Q$101,3*(Q$6-1)+Q$7)</f>
        <v>19.0602532571429</v>
      </c>
    </row>
    <row r="61" customFormat="false" ht="15" hidden="false" customHeight="false" outlineLevel="0" collapsed="false">
      <c r="A61" s="59" t="s">
        <v>1029</v>
      </c>
      <c r="B61" s="59" t="s">
        <v>481</v>
      </c>
      <c r="C61" s="96" t="n">
        <f aca="false">INDEX(Perf_Batch!$C$65:$Q$65,3*(C$6-1)+C$7)</f>
        <v>38.717196836864</v>
      </c>
      <c r="D61" s="96" t="n">
        <f aca="false">INDEX(Perf_Batch!$C$65:$Q$65,3*(D$6-1)+D$7)</f>
        <v>133.311744712704</v>
      </c>
      <c r="E61" s="96" t="n">
        <f aca="false">INDEX(Perf_Batch!$C$65:$Q$65,3*(E$6-1)+E$7)</f>
        <v>521.0612736</v>
      </c>
      <c r="F61" s="96" t="n">
        <f aca="false">INDEX(Perf_Batch!$C$65:$Q$65,3*(F$6-1)+F$7)</f>
        <v>38.717196836864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38.717196836864</v>
      </c>
      <c r="J61" s="96" t="n">
        <f aca="false">INDEX(Perf_Batch!$C$65:$Q$65,3*(J$6-1)+J$7)</f>
        <v>133.311744712704</v>
      </c>
      <c r="K61" s="96" t="n">
        <f aca="false">INDEX(Perf_Batch!$C$65:$Q$65,3*(K$6-1)+K$7)</f>
        <v>521.0612736</v>
      </c>
      <c r="L61" s="96" t="n">
        <f aca="false">INDEX(Perf_Batch!$C$65:$Q$65,3*(L$6-1)+L$7)</f>
        <v>38.717196836864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38.717196836864</v>
      </c>
      <c r="P61" s="96" t="n">
        <f aca="false">INDEX(Perf_Batch!$C$65:$Q$65,3*(P$6-1)+P$7)</f>
        <v>133.311744712704</v>
      </c>
      <c r="Q61" s="96" t="n">
        <f aca="false">INDEX(Perf_Batch!$C$65:$Q$65,3*(Q$6-1)+Q$7)</f>
        <v>521.0612736</v>
      </c>
    </row>
    <row r="62" customFormat="false" ht="15" hidden="false" customHeight="false" outlineLevel="0" collapsed="false">
      <c r="A62" s="59" t="s">
        <v>1030</v>
      </c>
      <c r="B62" s="59" t="s">
        <v>481</v>
      </c>
      <c r="C62" s="96" t="n">
        <f aca="false">INDEX(Perf_Batch!$C$67:$Q$67,3*(C$6-1)+C$7)</f>
        <v>32.305934737408</v>
      </c>
      <c r="D62" s="96" t="n">
        <f aca="false">INDEX(Perf_Batch!$C$67:$Q$67,3*(D$6-1)+D$7)</f>
        <v>131.524870545408</v>
      </c>
      <c r="E62" s="96" t="n">
        <f aca="false">INDEX(Perf_Batch!$C$67:$Q$67,3*(E$6-1)+E$7)</f>
        <v>400.2653184</v>
      </c>
      <c r="F62" s="96" t="n">
        <f aca="false">INDEX(Perf_Batch!$C$67:$Q$67,3*(F$6-1)+F$7)</f>
        <v>32.305934737408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32.305934737408</v>
      </c>
      <c r="J62" s="96" t="n">
        <f aca="false">INDEX(Perf_Batch!$C$67:$Q$67,3*(J$6-1)+J$7)</f>
        <v>131.524870545408</v>
      </c>
      <c r="K62" s="96" t="n">
        <f aca="false">INDEX(Perf_Batch!$C$67:$Q$67,3*(K$6-1)+K$7)</f>
        <v>400.2653184</v>
      </c>
      <c r="L62" s="96" t="n">
        <f aca="false">INDEX(Perf_Batch!$C$67:$Q$67,3*(L$6-1)+L$7)</f>
        <v>32.305934737408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32.305934737408</v>
      </c>
      <c r="P62" s="96" t="n">
        <f aca="false">INDEX(Perf_Batch!$C$67:$Q$67,3*(P$6-1)+P$7)</f>
        <v>131.524870545408</v>
      </c>
      <c r="Q62" s="96" t="n">
        <f aca="false">INDEX(Perf_Batch!$C$67:$Q$67,3*(Q$6-1)+Q$7)</f>
        <v>400.2653184</v>
      </c>
    </row>
    <row r="63" customFormat="false" ht="15" hidden="false" customHeight="false" outlineLevel="0" collapsed="false">
      <c r="A63" s="59" t="s">
        <v>1031</v>
      </c>
      <c r="B63" s="59" t="s">
        <v>97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</row>
    <row r="64" customFormat="false" ht="15" hidden="false" customHeight="false" outlineLevel="0" collapsed="false">
      <c r="A64" s="59" t="s">
        <v>1032</v>
      </c>
      <c r="B64" s="59" t="s">
        <v>93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59" t="s">
        <v>1033</v>
      </c>
      <c r="B65" s="59" t="s">
        <v>1010</v>
      </c>
      <c r="C65" s="65" t="n">
        <f aca="false">IF(AND(ISNUMBER(C59)),(C53*1000000*C59+C58*1000000*C60)/3600/C64,"SLO 不可達")</f>
        <v>502268.084432576</v>
      </c>
      <c r="D65" s="65" t="n">
        <f aca="false">IF(AND(ISNUMBER(D59)),(D53*1000000*D59+D58*1000000*D60)/3600/D64,"SLO 不可達")</f>
        <v>1933039.13646502</v>
      </c>
      <c r="E65" s="65" t="n">
        <f aca="false">IF(AND(ISNUMBER(E59)),(E53*1000000*E59+E58*1000000*E60)/3600/E64,"SLO 不可達")</f>
        <v>34534331.3625101</v>
      </c>
      <c r="F65" s="65" t="n">
        <f aca="false">IF(AND(ISNUMBER(F59)),(F53*1000000*F59+F58*1000000*F60)/3600/F64,"SLO 不可達")</f>
        <v>141871.836255624</v>
      </c>
      <c r="G65" s="65" t="n">
        <f aca="false">IF(AND(ISNUMBER(G59)),(G53*1000000*G59+G58*1000000*G60)/3600/G64,"SLO 不可達")</f>
        <v>522328.984927028</v>
      </c>
      <c r="H65" s="65" t="n">
        <f aca="false">IF(AND(ISNUMBER(H59)),(H53*1000000*H59+H58*1000000*H60)/3600/H64,"SLO 不可達")</f>
        <v>9267074.29934984</v>
      </c>
      <c r="I65" s="65" t="n">
        <f aca="false">IF(AND(ISNUMBER(I59)),(I53*1000000*I59+I58*1000000*I60)/3600/I64,"SLO 不可達")</f>
        <v>94581.224170416</v>
      </c>
      <c r="J65" s="65" t="n">
        <f aca="false">IF(AND(ISNUMBER(J59)),(J53*1000000*J59+J58*1000000*J60)/3600/J64,"SLO 不可達")</f>
        <v>348219.323284685</v>
      </c>
      <c r="K65" s="65" t="n">
        <f aca="false">IF(AND(ISNUMBER(K59)),(K53*1000000*K59+K58*1000000*K60)/3600/K64,"SLO 不可達")</f>
        <v>6409818.82271434</v>
      </c>
      <c r="L65" s="65" t="n">
        <f aca="false">IF(AND(ISNUMBER(L59)),(L53*1000000*L59+L58*1000000*L60)/3600/L64,"SLO 不可達")</f>
        <v>53649.2093802251</v>
      </c>
      <c r="M65" s="65" t="n">
        <f aca="false">IF(AND(ISNUMBER(M59)),(M53*1000000*M59+M58*1000000*M60)/3600/M64,"SLO 不可達")</f>
        <v>192233.176009909</v>
      </c>
      <c r="N65" s="65" t="n">
        <f aca="false">IF(AND(ISNUMBER(N59)),(N53*1000000*N59+N58*1000000*N60)/3600/N64,"SLO 不可達")</f>
        <v>3332012.23278618</v>
      </c>
      <c r="O65" s="65" t="n">
        <f aca="false">IF(AND(ISNUMBER(O59)),(O53*1000000*O59+O58*1000000*O60)/3600/O64,"SLO 不可達")</f>
        <v>20090.0787914024</v>
      </c>
      <c r="P65" s="65" t="n">
        <f aca="false">IF(AND(ISNUMBER(P59)),(P53*1000000*P59+P58*1000000*P60)/3600/P64,"SLO 不可達")</f>
        <v>71428.1057448491</v>
      </c>
      <c r="Q65" s="65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59" t="s">
        <v>1034</v>
      </c>
      <c r="B66" s="59" t="s">
        <v>301</v>
      </c>
      <c r="C66" s="142" t="n">
        <f aca="false">C53*1000000000000*C61*1000000000+C58*1000000000000*C62*1000000000</f>
        <v>9.37551472218829E+022</v>
      </c>
      <c r="D66" s="142" t="n">
        <f aca="false">D53*1000000000000*D61*1000000000+D58*1000000000000*D62*1000000000</f>
        <v>3.24315676724705E+023</v>
      </c>
      <c r="E66" s="142" t="n">
        <f aca="false">E53*1000000000000*E61*1000000000+E58*1000000000000*E62*1000000000</f>
        <v>5.12226782208E+024</v>
      </c>
      <c r="F66" s="142" t="n">
        <f aca="false">F53*1000000000000*F61*1000000000+F58*1000000000000*F62*1000000000</f>
        <v>9.37551472218829E+022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9.37551472218829E+022</v>
      </c>
      <c r="J66" s="142" t="n">
        <f aca="false">J53*1000000000000*J61*1000000000+J58*1000000000000*J62*1000000000</f>
        <v>3.24315676724705E+023</v>
      </c>
      <c r="K66" s="142" t="n">
        <f aca="false">K53*1000000000000*K61*1000000000+K58*1000000000000*K62*1000000000</f>
        <v>5.12226782208E+024</v>
      </c>
      <c r="L66" s="142" t="n">
        <f aca="false">L53*1000000000000*L61*1000000000+L58*1000000000000*L62*1000000000</f>
        <v>9.37551472218829E+022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9.37551472218829E+022</v>
      </c>
      <c r="P66" s="142" t="n">
        <f aca="false">P53*1000000000000*P61*1000000000+P58*1000000000000*P62*1000000000</f>
        <v>3.24315676724705E+023</v>
      </c>
      <c r="Q66" s="14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9" t="s">
        <v>1035</v>
      </c>
      <c r="B67" s="59" t="s">
        <v>942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59" t="s">
        <v>1036</v>
      </c>
      <c r="B68" s="59" t="s">
        <v>279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9" t="s">
        <v>1037</v>
      </c>
      <c r="B69" s="59" t="s">
        <v>481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59" t="s">
        <v>1038</v>
      </c>
      <c r="B70" s="59" t="s">
        <v>301</v>
      </c>
      <c r="C70" s="142" t="n">
        <f aca="false">C69*1000000000*C67*1000000000000</f>
        <v>4.10709279916524E+023</v>
      </c>
      <c r="D70" s="142" t="n">
        <f aca="false">D69*1000000000*D67*1000000000000</f>
        <v>1.41301010036736E+024</v>
      </c>
      <c r="E70" s="142" t="n">
        <f aca="false">E69*1000000000*E67*1000000000000</f>
        <v>2.077038526464E+025</v>
      </c>
      <c r="F70" s="142" t="n">
        <f aca="false">F69*1000000000*F67*1000000000000</f>
        <v>4.10709279916524E+023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4.10709279916524E+023</v>
      </c>
      <c r="J70" s="142" t="n">
        <f aca="false">J69*1000000000*J67*1000000000000</f>
        <v>1.41301010036736E+024</v>
      </c>
      <c r="K70" s="142" t="n">
        <f aca="false">K69*1000000000*K67*1000000000000</f>
        <v>2.077038526464E+025</v>
      </c>
      <c r="L70" s="142" t="n">
        <f aca="false">L69*1000000000*L67*1000000000000</f>
        <v>4.10709279916524E+023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4.10709279916524E+023</v>
      </c>
      <c r="P70" s="142" t="n">
        <f aca="false">P69*1000000000*P67*1000000000000</f>
        <v>1.41301010036736E+024</v>
      </c>
      <c r="Q70" s="142" t="n">
        <f aca="false">Q69*1000000000*Q67*1000000000000</f>
        <v>2.077038526464E+025</v>
      </c>
    </row>
    <row r="71" customFormat="false" ht="15" hidden="false" customHeight="false" outlineLevel="0" collapsed="false">
      <c r="A71" s="59" t="s">
        <v>1039</v>
      </c>
      <c r="B71" s="59" t="s">
        <v>97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</row>
    <row r="72" customFormat="false" ht="15" hidden="false" customHeight="false" outlineLevel="0" collapsed="false">
      <c r="A72" s="59" t="s">
        <v>1040</v>
      </c>
      <c r="B72" s="59" t="s">
        <v>1010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1041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</row>
    <row r="74" customFormat="false" ht="15" hidden="false" customHeight="false" outlineLevel="0" collapsed="false">
      <c r="A74" s="58" t="s">
        <v>1042</v>
      </c>
      <c r="B74" s="59" t="s">
        <v>1010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59" t="s">
        <v>1043</v>
      </c>
      <c r="B75" s="59" t="s">
        <v>1010</v>
      </c>
      <c r="C75" s="68" t="n">
        <f aca="false">IF(AND(ISNUMBER(C65)),C65+C72+C74,"SLO 不可達")</f>
        <v>929292.249603625</v>
      </c>
      <c r="D75" s="68" t="n">
        <f aca="false">IF(AND(ISNUMBER(D65)),D65+D72+D74,"SLO 不可達")</f>
        <v>3402179.20218321</v>
      </c>
      <c r="E75" s="68" t="n">
        <f aca="false">IF(AND(ISNUMBER(E65)),E65+E72+E74,"SLO 不可達")</f>
        <v>56129792.8278966</v>
      </c>
      <c r="F75" s="68" t="n">
        <f aca="false">IF(AND(ISNUMBER(F65)),F65+F72+F74,"SLO 不可達")</f>
        <v>310888.000830325</v>
      </c>
      <c r="G75" s="68" t="n">
        <f aca="false">IF(AND(ISNUMBER(G65)),G65+G72+G74,"SLO 不可達")</f>
        <v>1103814.62293829</v>
      </c>
      <c r="H75" s="68" t="n">
        <f aca="false">IF(AND(ISNUMBER(H65)),H65+H72+H74,"SLO 不可達")</f>
        <v>17814557.9473498</v>
      </c>
      <c r="I75" s="68" t="n">
        <f aca="false">IF(AND(ISNUMBER(I65)),I65+I72+I74,"SLO 不可達")</f>
        <v>263597.388745117</v>
      </c>
      <c r="J75" s="68" t="n">
        <f aca="false">IF(AND(ISNUMBER(J65)),J65+J72+J74,"SLO 不可達")</f>
        <v>929704.961295945</v>
      </c>
      <c r="K75" s="68" t="n">
        <f aca="false">IF(AND(ISNUMBER(K65)),K65+K72+K74,"SLO 不可達")</f>
        <v>14957302.4707143</v>
      </c>
      <c r="L75" s="68" t="n">
        <f aca="false">IF(AND(ISNUMBER(L65)),L65+L72+L74,"SLO 不可達")</f>
        <v>107305.134642035</v>
      </c>
      <c r="M75" s="68" t="n">
        <f aca="false">IF(AND(ISNUMBER(M65)),M65+M72+M74,"SLO 不可達")</f>
        <v>376831.791251579</v>
      </c>
      <c r="N75" s="68" t="n">
        <f aca="false">IF(AND(ISNUMBER(N65)),N65+N72+N74,"SLO 不可達")</f>
        <v>6045499.10516714</v>
      </c>
      <c r="O75" s="68" t="n">
        <f aca="false">IF(AND(ISNUMBER(O65)),O65+O72+O74,"SLO 不可達")</f>
        <v>46918.0414223073</v>
      </c>
      <c r="P75" s="68" t="n">
        <f aca="false">IF(AND(ISNUMBER(P65)),P65+P72+P74,"SLO 不可達")</f>
        <v>163727.413365684</v>
      </c>
      <c r="Q75" s="68" t="n">
        <f aca="false">IF(AND(ISNUMBER(Q65)),Q65+Q72+Q74,"SLO 不可達")</f>
        <v>2574548.53645185</v>
      </c>
    </row>
    <row r="76" customFormat="false" ht="15" hidden="false" customHeight="false" outlineLevel="0" collapsed="false">
      <c r="A76" s="59" t="s">
        <v>1044</v>
      </c>
      <c r="B76" s="59" t="s">
        <v>301</v>
      </c>
      <c r="C76" s="142" t="n">
        <f aca="false">C66+C70*(1+C73/3)</f>
        <v>5.04464427138406E+023</v>
      </c>
      <c r="D76" s="142" t="n">
        <f aca="false">D66+D70*(1+D73/3)</f>
        <v>1.73732577709207E+024</v>
      </c>
      <c r="E76" s="142" t="n">
        <f aca="false">E66+E70*(1+E73/3)</f>
        <v>2.589265308672E+025</v>
      </c>
      <c r="F76" s="142" t="n">
        <f aca="false">F66+F70*(1+F73/3)</f>
        <v>5.04464427138406E+023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5.04464427138406E+023</v>
      </c>
      <c r="J76" s="142" t="n">
        <f aca="false">J66+J70*(1+J73/3)</f>
        <v>1.73732577709207E+024</v>
      </c>
      <c r="K76" s="142" t="n">
        <f aca="false">K66+K70*(1+K73/3)</f>
        <v>2.589265308672E+025</v>
      </c>
      <c r="L76" s="142" t="n">
        <f aca="false">L66+L70*(1+L73/3)</f>
        <v>5.04464427138406E+023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5.04464427138406E+023</v>
      </c>
      <c r="P76" s="142" t="n">
        <f aca="false">P66+P70*(1+P73/3)</f>
        <v>1.73732577709207E+024</v>
      </c>
      <c r="Q76" s="142" t="n">
        <f aca="false">Q66+Q70*(1+Q73/3)</f>
        <v>2.589265308672E+025</v>
      </c>
    </row>
    <row r="77" customFormat="false" ht="15" hidden="false" customHeight="false" outlineLevel="0" collapsed="false">
      <c r="A77" s="59" t="s">
        <v>1045</v>
      </c>
      <c r="B77" s="59" t="s">
        <v>93</v>
      </c>
      <c r="C77" s="99" t="n">
        <f aca="false">IF(AND(ISNUMBER(C75)),C76/(C75*3600*C12*1000000000000000),"SLO 不可達")</f>
        <v>0.0761956076461837</v>
      </c>
      <c r="D77" s="99" t="n">
        <f aca="false">IF(AND(ISNUMBER(D75)),D76/(D75*3600*D12*1000000000000000),"SLO 不可達")</f>
        <v>0.0716763337592282</v>
      </c>
      <c r="E77" s="99" t="n">
        <f aca="false">IF(AND(ISNUMBER(E75)),E76/(E75*3600*E12*1000000000000000),"SLO 不可達")</f>
        <v>0.0647492613469604</v>
      </c>
      <c r="F77" s="99" t="n">
        <f aca="false">IF(AND(ISNUMBER(F75)),F76/(F75*3600*F12*1000000000000000),"SLO 不可達")</f>
        <v>0.0901475818714053</v>
      </c>
      <c r="G77" s="99" t="n">
        <f aca="false">IF(AND(ISNUMBER(G75)),G76/(G75*3600*G12*1000000000000000),"SLO 不可達")</f>
        <v>0.0874404965486068</v>
      </c>
      <c r="H77" s="99" t="n">
        <f aca="false">IF(AND(ISNUMBER(H75)),H76/(H75*3600*H12*1000000000000000),"SLO 不可達")</f>
        <v>0.0807474836755068</v>
      </c>
      <c r="I77" s="99" t="n">
        <f aca="false">IF(AND(ISNUMBER(I75)),I76/(I75*3600*I12*1000000000000000),"SLO 不可達")</f>
        <v>0.106320482312473</v>
      </c>
      <c r="J77" s="99" t="n">
        <f aca="false">IF(AND(ISNUMBER(J75)),J76/(J75*3600*J12*1000000000000000),"SLO 不可達")</f>
        <v>0.103815837007901</v>
      </c>
      <c r="K77" s="99" t="n">
        <f aca="false">IF(AND(ISNUMBER(K75)),K76/(K75*3600*K12*1000000000000000),"SLO 不可達")</f>
        <v>0.0961724702603611</v>
      </c>
      <c r="L77" s="99" t="n">
        <f aca="false">IF(AND(ISNUMBER(L75)),L76/(L75*3600*L12*1000000000000000),"SLO 不可達")</f>
        <v>0.0746224482738129</v>
      </c>
      <c r="M77" s="99" t="n">
        <f aca="false">IF(AND(ISNUMBER(M75)),M76/(M75*3600*M12*1000000000000000),"SLO 不可達")</f>
        <v>0.0731801304364245</v>
      </c>
      <c r="N77" s="99" t="n">
        <f aca="false">IF(AND(ISNUMBER(N75)),N76/(N75*3600*N12*1000000000000000),"SLO 不可達")</f>
        <v>0.0679835504547044</v>
      </c>
      <c r="O77" s="99" t="n">
        <f aca="false">IF(AND(ISNUMBER(O75)),O76/(O75*3600*O12*1000000000000000),"SLO 不可達")</f>
        <v>0.0853336117258793</v>
      </c>
      <c r="P77" s="99" t="n">
        <f aca="false">IF(AND(ISNUMBER(P75)),P76/(P75*3600*P12*1000000000000000),"SLO 不可達")</f>
        <v>0.0842149737466073</v>
      </c>
      <c r="Q77" s="99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59" t="s">
        <v>1046</v>
      </c>
      <c r="B78" s="59" t="s">
        <v>97</v>
      </c>
      <c r="C78" s="102" t="n">
        <f aca="false">IF(AND(ISNUMBER(C75)),C75/C36,"SLO 不可達")</f>
        <v>0.413319701849183</v>
      </c>
      <c r="D78" s="102" t="n">
        <f aca="false">IF(AND(ISNUMBER(D75)),D75/D36,"SLO 不可達")</f>
        <v>0.421321877277866</v>
      </c>
      <c r="E78" s="102" t="n">
        <f aca="false">IF(AND(ISNUMBER(E75)),E75/E36,"SLO 不可達")</f>
        <v>1.31497217597881</v>
      </c>
      <c r="F78" s="102" t="n">
        <f aca="false">IF(AND(ISNUMBER(F75)),F75/F36,"SLO 不可達")</f>
        <v>0.349350977372445</v>
      </c>
      <c r="G78" s="102" t="n">
        <f aca="false">IF(AND(ISNUMBER(G75)),G75/G36,"SLO 不可達")</f>
        <v>0.345364089727531</v>
      </c>
      <c r="H78" s="102" t="n">
        <f aca="false">IF(AND(ISNUMBER(H75)),H75/H36,"SLO 不可達")</f>
        <v>1.05444124337784</v>
      </c>
      <c r="I78" s="102" t="n">
        <f aca="false">IF(AND(ISNUMBER(I75)),I75/I36,"SLO 不可達")</f>
        <v>0.296209583981951</v>
      </c>
      <c r="J78" s="102" t="n">
        <f aca="false">IF(AND(ISNUMBER(J75)),J75/J36,"SLO 不可達")</f>
        <v>0.2908882533359</v>
      </c>
      <c r="K78" s="102" t="n">
        <f aca="false">IF(AND(ISNUMBER(K75)),K75/K36,"SLO 不可達")</f>
        <v>0.885320683309161</v>
      </c>
      <c r="L78" s="102" t="n">
        <f aca="false">IF(AND(ISNUMBER(L75)),L75/L36,"SLO 不可達")</f>
        <v>0.379829822080908</v>
      </c>
      <c r="M78" s="102" t="n">
        <f aca="false">IF(AND(ISNUMBER(M75)),M75/M36,"SLO 不可達")</f>
        <v>0.371397626434424</v>
      </c>
      <c r="N78" s="102" t="n">
        <f aca="false">IF(AND(ISNUMBER(N75)),N75/N36,"SLO 不可達")</f>
        <v>1.12717162997901</v>
      </c>
      <c r="O78" s="102" t="n">
        <f aca="false">IF(AND(ISNUMBER(O75)),O75/O36,"SLO 不可達")</f>
        <v>0.332153188852878</v>
      </c>
      <c r="P78" s="102" t="n">
        <f aca="false">IF(AND(ISNUMBER(P75)),P75/P36,"SLO 不可達")</f>
        <v>0.322732710551306</v>
      </c>
      <c r="Q78" s="102" t="n">
        <f aca="false">IF(AND(ISNUMBER(Q75)),Q75/Q36,"SLO 不可達")</f>
        <v>0.960039202656464</v>
      </c>
    </row>
    <row r="79" customFormat="false" ht="15" hidden="false" customHeight="false" outlineLevel="0" collapsed="false">
      <c r="A79" s="59" t="s">
        <v>1047</v>
      </c>
      <c r="B79" s="59" t="s">
        <v>97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1048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8" t="s">
        <v>1049</v>
      </c>
      <c r="B81" s="59" t="s">
        <v>942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</row>
    <row r="82" customFormat="false" ht="15" hidden="false" customHeight="false" outlineLevel="0" collapsed="false">
      <c r="A82" s="58" t="s">
        <v>1050</v>
      </c>
      <c r="B82" s="58"/>
      <c r="C82" s="87" t="n">
        <f aca="false">INDEX(Train_In!$C$36:$E$36,C$7)</f>
        <v>1</v>
      </c>
      <c r="D82" s="87" t="n">
        <f aca="false">INDEX(Train_In!$C$36:$E$36,D$7)</f>
        <v>2</v>
      </c>
      <c r="E82" s="87" t="n">
        <f aca="false">INDEX(Train_In!$C$36:$E$36,E$7)</f>
        <v>3</v>
      </c>
      <c r="F82" s="87" t="n">
        <f aca="false">INDEX(Train_In!$C$36:$E$36,F$7)</f>
        <v>1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1</v>
      </c>
      <c r="J82" s="87" t="n">
        <f aca="false">INDEX(Train_In!$C$36:$E$36,J$7)</f>
        <v>2</v>
      </c>
      <c r="K82" s="87" t="n">
        <f aca="false">INDEX(Train_In!$C$36:$E$36,K$7)</f>
        <v>3</v>
      </c>
      <c r="L82" s="87" t="n">
        <f aca="false">INDEX(Train_In!$C$36:$E$36,L$7)</f>
        <v>1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1</v>
      </c>
      <c r="P82" s="87" t="n">
        <f aca="false">INDEX(Train_In!$C$36:$E$36,P$7)</f>
        <v>2</v>
      </c>
      <c r="Q82" s="87" t="n">
        <f aca="false">INDEX(Train_In!$C$36:$E$36,Q$7)</f>
        <v>3</v>
      </c>
    </row>
    <row r="83" customFormat="false" ht="15" hidden="false" customHeight="false" outlineLevel="0" collapsed="false">
      <c r="A83" s="58" t="s">
        <v>1051</v>
      </c>
      <c r="B83" s="59" t="s">
        <v>942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1052</v>
      </c>
      <c r="B84" s="59" t="s">
        <v>791</v>
      </c>
      <c r="C84" s="96" t="n">
        <f aca="false">INDEX(Perf_Batch!$C$101:$Q$101,3*(C$6-1)+C82)</f>
        <v>108.884175050246</v>
      </c>
      <c r="D84" s="96" t="n">
        <f aca="false">INDEX(Perf_Batch!$C$101:$Q$101,3*(D$6-1)+D82)</f>
        <v>443.292452124732</v>
      </c>
      <c r="E84" s="96" t="n">
        <f aca="false">INDEX(Perf_Batch!$C$101:$Q$101,3*(E$6-1)+E82)</f>
        <v>1349.05735894843</v>
      </c>
      <c r="F84" s="96" t="n">
        <f aca="false">INDEX(Perf_Batch!$C$101:$Q$101,3*(F$6-1)+F82)</f>
        <v>10.7686449124693</v>
      </c>
      <c r="G84" s="96" t="n">
        <f aca="false">INDEX(Perf_Batch!$C$101:$Q$101,3*(G$6-1)+G82)</f>
        <v>43.841623515136</v>
      </c>
      <c r="H84" s="96" t="n">
        <f aca="false">INDEX(Perf_Batch!$C$101:$Q$101,3*(H$6-1)+H82)</f>
        <v>133.4217728</v>
      </c>
      <c r="I84" s="96" t="n">
        <f aca="false">INDEX(Perf_Batch!$C$101:$Q$101,3*(I$6-1)+I82)</f>
        <v>7.17909660831289</v>
      </c>
      <c r="J84" s="96" t="n">
        <f aca="false">INDEX(Perf_Batch!$C$101:$Q$101,3*(J$6-1)+J82)</f>
        <v>29.2277490100907</v>
      </c>
      <c r="K84" s="96" t="n">
        <f aca="false">INDEX(Perf_Batch!$C$101:$Q$101,3*(K$6-1)+K82)</f>
        <v>88.9478485333333</v>
      </c>
      <c r="L84" s="96" t="n">
        <f aca="false">INDEX(Perf_Batch!$C$101:$Q$101,3*(L$6-1)+L82)</f>
        <v>3.07675568927695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1.53837784463848</v>
      </c>
      <c r="P84" s="96" t="n">
        <f aca="false">INDEX(Perf_Batch!$C$101:$Q$101,3*(P$6-1)+P82)</f>
        <v>6.26308907359086</v>
      </c>
      <c r="Q84" s="96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1053</v>
      </c>
      <c r="B85" s="59" t="s">
        <v>481</v>
      </c>
      <c r="C85" s="96" t="n">
        <f aca="false">INDEX(Perf_Batch!$C$67:$Q$67,3*(C$6-1)+C82)</f>
        <v>32.305934737408</v>
      </c>
      <c r="D85" s="96" t="n">
        <f aca="false">INDEX(Perf_Batch!$C$67:$Q$67,3*(D$6-1)+D82)</f>
        <v>131.524870545408</v>
      </c>
      <c r="E85" s="96" t="n">
        <f aca="false">INDEX(Perf_Batch!$C$67:$Q$67,3*(E$6-1)+E82)</f>
        <v>400.2653184</v>
      </c>
      <c r="F85" s="96" t="n">
        <f aca="false">INDEX(Perf_Batch!$C$67:$Q$67,3*(F$6-1)+F82)</f>
        <v>32.305934737408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32.305934737408</v>
      </c>
      <c r="J85" s="96" t="n">
        <f aca="false">INDEX(Perf_Batch!$C$67:$Q$67,3*(J$6-1)+J82)</f>
        <v>131.524870545408</v>
      </c>
      <c r="K85" s="96" t="n">
        <f aca="false">INDEX(Perf_Batch!$C$67:$Q$67,3*(K$6-1)+K82)</f>
        <v>400.2653184</v>
      </c>
      <c r="L85" s="96" t="n">
        <f aca="false">INDEX(Perf_Batch!$C$67:$Q$67,3*(L$6-1)+L82)</f>
        <v>32.305934737408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32.305934737408</v>
      </c>
      <c r="P85" s="96" t="n">
        <f aca="false">INDEX(Perf_Batch!$C$67:$Q$67,3*(P$6-1)+P82)</f>
        <v>131.524870545408</v>
      </c>
      <c r="Q85" s="96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1054</v>
      </c>
      <c r="B86" s="59" t="s">
        <v>1010</v>
      </c>
      <c r="C86" s="65" t="n">
        <f aca="false">IF(AND(ISNUMBER(C59)),C81*1000000*C59/3600/C64,"SLO 不可達")</f>
        <v>42342.6977526788</v>
      </c>
      <c r="D86" s="65" t="n">
        <f aca="false">IF(AND(ISNUMBER(D59)),D81*1000000*D59/3600/D64,"SLO 不可達")</f>
        <v>162911.458381488</v>
      </c>
      <c r="E86" s="65" t="n">
        <f aca="false">IF(AND(ISNUMBER(E59)),E81*1000000*E59/3600/E64,"SLO 不可達")</f>
        <v>716709.809106729</v>
      </c>
      <c r="F86" s="65" t="n">
        <f aca="false">IF(AND(ISNUMBER(F59)),F81*1000000*F59/3600/F64,"SLO 不可達")</f>
        <v>12001.0421895401</v>
      </c>
      <c r="G86" s="65" t="n">
        <f aca="false">IF(AND(ISNUMBER(G59)),G81*1000000*G59/3600/G64,"SLO 不可達")</f>
        <v>44175.6224144917</v>
      </c>
      <c r="H86" s="65" t="n">
        <f aca="false">IF(AND(ISNUMBER(H59)),H81*1000000*H59/3600/H64,"SLO 不可達")</f>
        <v>192791.536112272</v>
      </c>
      <c r="I86" s="65" t="n">
        <f aca="false">IF(AND(ISNUMBER(I59)),I81*1000000*I59/3600/I64,"SLO 不可達")</f>
        <v>8000.69479302675</v>
      </c>
      <c r="J86" s="65" t="n">
        <f aca="false">IF(AND(ISNUMBER(J59)),J81*1000000*J59/3600/J64,"SLO 不可達")</f>
        <v>29450.4149429944</v>
      </c>
      <c r="K86" s="65" t="n">
        <f aca="false">IF(AND(ISNUMBER(K59)),K81*1000000*K59/3600/K64,"SLO 不可達")</f>
        <v>133356.217612649</v>
      </c>
      <c r="L86" s="65" t="n">
        <f aca="false">IF(AND(ISNUMBER(L59)),L81*1000000*L59/3600/L64,"SLO 不可達")</f>
        <v>4540.25894459413</v>
      </c>
      <c r="M86" s="65" t="n">
        <f aca="false">IF(AND(ISNUMBER(M59)),M81*1000000*M59/3600/M64,"SLO 不可達")</f>
        <v>16265.3626052943</v>
      </c>
      <c r="N86" s="65" t="n">
        <f aca="false">IF(AND(ISNUMBER(N59)),N81*1000000*N59/3600/N64,"SLO 不可達")</f>
        <v>69339.0610047075</v>
      </c>
      <c r="O86" s="65" t="n">
        <f aca="false">IF(AND(ISNUMBER(O59)),O81*1000000*O59/3600/O64,"SLO 不可達")</f>
        <v>1699.40693850807</v>
      </c>
      <c r="P86" s="65" t="n">
        <f aca="false">IF(AND(ISNUMBER(P59)),P81*1000000*P59/3600/P64,"SLO 不可達")</f>
        <v>6040.43704331619</v>
      </c>
      <c r="Q86" s="65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58" t="s">
        <v>1055</v>
      </c>
      <c r="B87" s="59" t="s">
        <v>1010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8" t="s">
        <v>1056</v>
      </c>
      <c r="B88" s="59" t="s">
        <v>301</v>
      </c>
      <c r="C88" s="142" t="n">
        <f aca="false">C69*1000000000*C83*1000000000000</f>
        <v>3.48058711793664E+022</v>
      </c>
      <c r="D88" s="142" t="n">
        <f aca="false">D69*1000000000*D83*1000000000000</f>
        <v>1.197466186752E+023</v>
      </c>
      <c r="E88" s="142" t="n">
        <f aca="false">E69*1000000000*E83*1000000000000</f>
        <v>4.3271635968E+023</v>
      </c>
      <c r="F88" s="142" t="n">
        <f aca="false">F69*1000000000*F83*1000000000000</f>
        <v>3.48058711793664E+022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3.48058711793664E+022</v>
      </c>
      <c r="J88" s="142" t="n">
        <f aca="false">J69*1000000000*J83*1000000000000</f>
        <v>1.197466186752E+023</v>
      </c>
      <c r="K88" s="142" t="n">
        <f aca="false">K69*1000000000*K83*1000000000000</f>
        <v>4.3271635968E+023</v>
      </c>
      <c r="L88" s="142" t="n">
        <f aca="false">L69*1000000000*L83*1000000000000</f>
        <v>3.48058711793664E+022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3.48058711793664E+022</v>
      </c>
      <c r="P88" s="142" t="n">
        <f aca="false">P69*1000000000*P83*1000000000000</f>
        <v>1.197466186752E+023</v>
      </c>
      <c r="Q88" s="142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1057</v>
      </c>
      <c r="B89" s="59" t="s">
        <v>1010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1058</v>
      </c>
      <c r="B90" s="59" t="s">
        <v>1010</v>
      </c>
      <c r="C90" s="65" t="n">
        <f aca="false">IF(AND(ISNUMBER(C86)),C86+C87+C89,"SLO 不可達")</f>
        <v>87604.8675806837</v>
      </c>
      <c r="D90" s="65" t="n">
        <f aca="false">IF(AND(ISNUMBER(D86)),D86+D87+D89,"SLO 不可達")</f>
        <v>324355.891458395</v>
      </c>
      <c r="E90" s="65" t="n">
        <f aca="false">IF(AND(ISNUMBER(E86)),E86+E87+E89,"SLO 不可達")</f>
        <v>1279036.70288132</v>
      </c>
      <c r="F90" s="65" t="n">
        <f aca="false">IF(AND(ISNUMBER(F86)),F86+F87+F89,"SLO 不可達")</f>
        <v>27221.8330430963</v>
      </c>
      <c r="G90" s="65" t="n">
        <f aca="false">IF(AND(ISNUMBER(G86)),G86+G87+G89,"SLO 不可達")</f>
        <v>97107.5349400122</v>
      </c>
      <c r="H90" s="65" t="n">
        <f aca="false">IF(AND(ISNUMBER(H86)),H86+H87+H89,"SLO 不可達")</f>
        <v>381982.593178939</v>
      </c>
      <c r="I90" s="65" t="n">
        <f aca="false">IF(AND(ISNUMBER(I86)),I86+I87+I89,"SLO 不可達")</f>
        <v>22922.3566212365</v>
      </c>
      <c r="J90" s="65" t="n">
        <f aca="false">IF(AND(ISNUMBER(J86)),J86+J87+J89,"SLO 不可達")</f>
        <v>81164.5045930946</v>
      </c>
      <c r="K90" s="65" t="n">
        <f aca="false">IF(AND(ISNUMBER(K86)),K86+K87+K89,"SLO 不可達")</f>
        <v>318841.11432376</v>
      </c>
      <c r="L90" s="65" t="n">
        <f aca="false">IF(AND(ISNUMBER(L86)),L86+L87+L89,"SLO 不可達")</f>
        <v>9343.76756235674</v>
      </c>
      <c r="M90" s="65" t="n">
        <f aca="false">IF(AND(ISNUMBER(M86)),M86+M87+M89,"SLO 不可達")</f>
        <v>32953.1612284354</v>
      </c>
      <c r="N90" s="65" t="n">
        <f aca="false">IF(AND(ISNUMBER(N86)),N86+N87+N89,"SLO 不可達")</f>
        <v>129046.746388834</v>
      </c>
      <c r="O90" s="65" t="n">
        <f aca="false">IF(AND(ISNUMBER(O86)),O86+O87+O89,"SLO 不可達")</f>
        <v>4101.16124738937</v>
      </c>
      <c r="P90" s="65" t="n">
        <f aca="false">IF(AND(ISNUMBER(P86)),P86+P87+P89,"SLO 不可達")</f>
        <v>14384.3363548867</v>
      </c>
      <c r="Q90" s="65" t="n">
        <f aca="false">IF(AND(ISNUMBER(Q86)),Q86+Q87+Q89,"SLO 不可達")</f>
        <v>55185.8520250064</v>
      </c>
    </row>
    <row r="91" customFormat="false" ht="15" hidden="false" customHeight="false" outlineLevel="0" collapsed="false">
      <c r="A91" s="58" t="s">
        <v>1059</v>
      </c>
      <c r="B91" s="59" t="s">
        <v>301</v>
      </c>
      <c r="C91" s="142" t="n">
        <f aca="false">C81*1000000000000*C61*1000000000+C83*1000000000000*C85*1000000000+C88</f>
        <v>5.22410909679616E+022</v>
      </c>
      <c r="D91" s="142" t="n">
        <f aca="false">D81*1000000000000*D61*1000000000+D83*1000000000000*D85*1000000000+D88</f>
        <v>1.85866428781363E+023</v>
      </c>
      <c r="E91" s="142" t="n">
        <f aca="false">E81*1000000000000*E61*1000000000+E83*1000000000000*E85*1000000000+E88</f>
        <v>6.5700820992E+023</v>
      </c>
      <c r="F91" s="142" t="n">
        <f aca="false">F81*1000000000000*F61*1000000000+F83*1000000000000*F85*1000000000+F88</f>
        <v>5.22410909679616E+022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5.22410909679616E+022</v>
      </c>
      <c r="J91" s="142" t="n">
        <f aca="false">J81*1000000000000*J61*1000000000+J83*1000000000000*J85*1000000000+J88</f>
        <v>1.85866428781363E+023</v>
      </c>
      <c r="K91" s="142" t="n">
        <f aca="false">K81*1000000000000*K61*1000000000+K83*1000000000000*K85*1000000000+K88</f>
        <v>6.5700820992E+023</v>
      </c>
      <c r="L91" s="142" t="n">
        <f aca="false">L81*1000000000000*L61*1000000000+L83*1000000000000*L85*1000000000+L88</f>
        <v>5.22410909679616E+022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5.22410909679616E+022</v>
      </c>
      <c r="P91" s="142" t="n">
        <f aca="false">P81*1000000000000*P61*1000000000+P83*1000000000000*P85*1000000000+P88</f>
        <v>1.85866428781363E+023</v>
      </c>
      <c r="Q91" s="14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1060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1061</v>
      </c>
      <c r="B93" s="59" t="s">
        <v>942</v>
      </c>
      <c r="C93" s="96" t="n">
        <f aca="false">INDEX(Train_In!$C$37:$E$37,C$7)</f>
        <v>1</v>
      </c>
      <c r="D93" s="96" t="n">
        <f aca="false">INDEX(Train_In!$C$37:$E$37,D$7)</f>
        <v>2</v>
      </c>
      <c r="E93" s="96" t="n">
        <f aca="false">INDEX(Train_In!$C$37:$E$37,E$7)</f>
        <v>3</v>
      </c>
      <c r="F93" s="96" t="n">
        <f aca="false">INDEX(Train_In!$C$37:$E$37,F$7)</f>
        <v>1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1</v>
      </c>
      <c r="J93" s="96" t="n">
        <f aca="false">INDEX(Train_In!$C$37:$E$37,J$7)</f>
        <v>2</v>
      </c>
      <c r="K93" s="96" t="n">
        <f aca="false">INDEX(Train_In!$C$37:$E$37,K$7)</f>
        <v>3</v>
      </c>
      <c r="L93" s="96" t="n">
        <f aca="false">INDEX(Train_In!$C$37:$E$37,L$7)</f>
        <v>1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1</v>
      </c>
      <c r="P93" s="96" t="n">
        <f aca="false">INDEX(Train_In!$C$37:$E$37,P$7)</f>
        <v>2</v>
      </c>
      <c r="Q93" s="96" t="n">
        <f aca="false">INDEX(Train_In!$C$37:$E$37,Q$7)</f>
        <v>3</v>
      </c>
    </row>
    <row r="94" customFormat="false" ht="15" hidden="false" customHeight="false" outlineLevel="0" collapsed="false">
      <c r="A94" s="58" t="s">
        <v>1062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</row>
    <row r="95" customFormat="false" ht="15" hidden="false" customHeight="false" outlineLevel="0" collapsed="false">
      <c r="A95" s="58" t="s">
        <v>1063</v>
      </c>
      <c r="B95" s="59" t="s">
        <v>791</v>
      </c>
      <c r="C95" s="96" t="n">
        <f aca="false">INDEX(Perf_Batch!$C$103:$Q$103,3*(C$6-1)+C94)</f>
        <v>10965.660079333</v>
      </c>
      <c r="D95" s="96" t="n">
        <f aca="false">INDEX(Perf_Batch!$C$103:$Q$103,3*(D$6-1)+D94)</f>
        <v>10965.660079333</v>
      </c>
      <c r="E95" s="96" t="n">
        <f aca="false">INDEX(Perf_Batch!$C$103:$Q$103,3*(E$6-1)+E94)</f>
        <v>10965.660079333</v>
      </c>
      <c r="F95" s="96" t="n">
        <f aca="false">INDEX(Perf_Batch!$C$103:$Q$103,3*(F$6-1)+F94)</f>
        <v>2949.71050251776</v>
      </c>
      <c r="G95" s="96" t="n">
        <f aca="false">INDEX(Perf_Batch!$C$103:$Q$103,3*(G$6-1)+G94)</f>
        <v>2949.71050251776</v>
      </c>
      <c r="H95" s="96" t="n">
        <f aca="false">INDEX(Perf_Batch!$C$103:$Q$103,3*(H$6-1)+H94)</f>
        <v>2949.71050251776</v>
      </c>
      <c r="I95" s="96" t="n">
        <f aca="false">INDEX(Perf_Batch!$C$103:$Q$103,3*(I$6-1)+I94)</f>
        <v>2040.35012947353</v>
      </c>
      <c r="J95" s="96" t="n">
        <f aca="false">INDEX(Perf_Batch!$C$103:$Q$103,3*(J$6-1)+J94)</f>
        <v>2040.35012947353</v>
      </c>
      <c r="K95" s="96" t="n">
        <f aca="false">INDEX(Perf_Batch!$C$103:$Q$103,3*(K$6-1)+K94)</f>
        <v>2040.35012947353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387.579742794027</v>
      </c>
      <c r="P95" s="96" t="n">
        <f aca="false">INDEX(Perf_Batch!$C$103:$Q$103,3*(P$6-1)+P94)</f>
        <v>387.579742794027</v>
      </c>
      <c r="Q95" s="96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1064</v>
      </c>
      <c r="B96" s="59" t="s">
        <v>481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1065</v>
      </c>
      <c r="B97" s="59" t="s">
        <v>1010</v>
      </c>
      <c r="C97" s="65" t="n">
        <f aca="false">IF(AND(ISNUMBER(C95)),C93*1000000*C95/3600,"SLO 不可達")</f>
        <v>3046016.6887036</v>
      </c>
      <c r="D97" s="65" t="n">
        <f aca="false">IF(AND(ISNUMBER(D95)),D93*1000000*D95/3600,"SLO 不可達")</f>
        <v>6092033.3774072</v>
      </c>
      <c r="E97" s="65" t="n">
        <f aca="false">IF(AND(ISNUMBER(E95)),E93*1000000*E95/3600,"SLO 不可達")</f>
        <v>9138050.06611079</v>
      </c>
      <c r="F97" s="65" t="n">
        <f aca="false">IF(AND(ISNUMBER(F95)),F93*1000000*F95/3600,"SLO 不可達")</f>
        <v>819364.028477156</v>
      </c>
      <c r="G97" s="65" t="n">
        <f aca="false">IF(AND(ISNUMBER(G95)),G93*1000000*G95/3600,"SLO 不可達")</f>
        <v>1638728.05695431</v>
      </c>
      <c r="H97" s="65" t="n">
        <f aca="false">IF(AND(ISNUMBER(H95)),H93*1000000*H95/3600,"SLO 不可達")</f>
        <v>2458092.08543147</v>
      </c>
      <c r="I97" s="65" t="n">
        <f aca="false">IF(AND(ISNUMBER(I95)),I93*1000000*I95/3600,"SLO 不可達")</f>
        <v>566763.924853758</v>
      </c>
      <c r="J97" s="65" t="n">
        <f aca="false">IF(AND(ISNUMBER(J95)),J93*1000000*J95/3600,"SLO 不可達")</f>
        <v>1133527.84970752</v>
      </c>
      <c r="K97" s="65" t="n">
        <f aca="false">IF(AND(ISNUMBER(K95)),K93*1000000*K95/3600,"SLO 不可達")</f>
        <v>1700291.77456127</v>
      </c>
      <c r="L97" s="65" t="n">
        <f aca="false">IF(AND(ISNUMBER(L95)),L93*1000000*L95/3600,"SLO 不可達")</f>
        <v>294691.009270007</v>
      </c>
      <c r="M97" s="65" t="n">
        <f aca="false">IF(AND(ISNUMBER(M95)),M93*1000000*M95/3600,"SLO 不可達")</f>
        <v>589382.018540014</v>
      </c>
      <c r="N97" s="65" t="n">
        <f aca="false">IF(AND(ISNUMBER(N95)),N93*1000000*N95/3600,"SLO 不可達")</f>
        <v>884073.027810021</v>
      </c>
      <c r="O97" s="65" t="n">
        <f aca="false">IF(AND(ISNUMBER(O95)),O93*1000000*O95/3600,"SLO 不可達")</f>
        <v>107661.039665007</v>
      </c>
      <c r="P97" s="65" t="n">
        <f aca="false">IF(AND(ISNUMBER(P95)),P93*1000000*P95/3600,"SLO 不可達")</f>
        <v>215322.079330015</v>
      </c>
      <c r="Q97" s="65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58" t="s">
        <v>1066</v>
      </c>
      <c r="B98" s="59" t="s">
        <v>301</v>
      </c>
      <c r="C98" s="142" t="n">
        <f aca="false">C93*1000000000000*C96*1000000000</f>
        <v>5.210612736E+023</v>
      </c>
      <c r="D98" s="142" t="n">
        <f aca="false">D93*1000000000000*D96*1000000000</f>
        <v>1.0421225472E+024</v>
      </c>
      <c r="E98" s="142" t="n">
        <f aca="false">E93*1000000000000*E96*1000000000</f>
        <v>1.5631838208E+024</v>
      </c>
      <c r="F98" s="142" t="n">
        <f aca="false">F93*1000000000000*F96*1000000000</f>
        <v>5.210612736E+023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5.210612736E+023</v>
      </c>
      <c r="J98" s="142" t="n">
        <f aca="false">J93*1000000000000*J96*1000000000</f>
        <v>1.0421225472E+024</v>
      </c>
      <c r="K98" s="142" t="n">
        <f aca="false">K93*1000000000000*K96*1000000000</f>
        <v>1.5631838208E+024</v>
      </c>
      <c r="L98" s="142" t="n">
        <f aca="false">L93*1000000000000*L96*1000000000</f>
        <v>5.210612736E+023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5.210612736E+023</v>
      </c>
      <c r="P98" s="142" t="n">
        <f aca="false">P93*1000000000000*P96*1000000000</f>
        <v>1.0421225472E+024</v>
      </c>
      <c r="Q98" s="142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965</v>
      </c>
      <c r="B99" s="59" t="s">
        <v>942</v>
      </c>
      <c r="C99" s="93" t="n">
        <f aca="false">INDEX(Train_In!$C$38:$E$38,C$7)</f>
        <v>0.02</v>
      </c>
      <c r="D99" s="93" t="n">
        <f aca="false">INDEX(Train_In!$C$38:$E$38,D$7)</f>
        <v>0.05</v>
      </c>
      <c r="E99" s="93" t="n">
        <f aca="false">INDEX(Train_In!$C$38:$E$38,E$7)</f>
        <v>0.1</v>
      </c>
      <c r="F99" s="93" t="n">
        <f aca="false">INDEX(Train_In!$C$38:$E$38,F$7)</f>
        <v>0.02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0.02</v>
      </c>
      <c r="J99" s="93" t="n">
        <f aca="false">INDEX(Train_In!$C$38:$E$38,J$7)</f>
        <v>0.05</v>
      </c>
      <c r="K99" s="93" t="n">
        <f aca="false">INDEX(Train_In!$C$38:$E$38,K$7)</f>
        <v>0.1</v>
      </c>
      <c r="L99" s="93" t="n">
        <f aca="false">INDEX(Train_In!$C$38:$E$38,L$7)</f>
        <v>0.02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0.02</v>
      </c>
      <c r="P99" s="93" t="n">
        <f aca="false">INDEX(Train_In!$C$38:$E$38,P$7)</f>
        <v>0.05</v>
      </c>
      <c r="Q99" s="93" t="n">
        <f aca="false">INDEX(Train_In!$C$38:$E$38,Q$7)</f>
        <v>0.1</v>
      </c>
    </row>
    <row r="100" customFormat="false" ht="15" hidden="false" customHeight="false" outlineLevel="0" collapsed="false">
      <c r="A100" s="58" t="s">
        <v>1067</v>
      </c>
      <c r="B100" s="59" t="s">
        <v>1010</v>
      </c>
      <c r="C100" s="65" t="n">
        <f aca="false">IF(AND(ISNUMBER(C59)),C99*1000000*C59/3600,"SLO 不可達")</f>
        <v>3599.1293089777</v>
      </c>
      <c r="D100" s="65" t="n">
        <f aca="false">IF(AND(ISNUMBER(D59)),D99*1000000*D59/3600,"SLO 不可達")</f>
        <v>34618.6849060661</v>
      </c>
      <c r="E100" s="65" t="n">
        <f aca="false">IF(AND(ISNUMBER(E59)),E99*1000000*E59/3600,"SLO 不可達")</f>
        <v>304601.66887036</v>
      </c>
      <c r="F100" s="65" t="n">
        <f aca="false">IF(AND(ISNUMBER(F59)),F99*1000000*F59/3600,"SLO 不可達")</f>
        <v>1020.08858611091</v>
      </c>
      <c r="G100" s="65" t="n">
        <f aca="false">IF(AND(ISNUMBER(G59)),G99*1000000*G59/3600,"SLO 不可達")</f>
        <v>9387.31976307948</v>
      </c>
      <c r="H100" s="65" t="n">
        <f aca="false">IF(AND(ISNUMBER(H59)),H99*1000000*H59/3600,"SLO 不可達")</f>
        <v>81936.4028477156</v>
      </c>
      <c r="I100" s="65" t="n">
        <f aca="false">IF(AND(ISNUMBER(I59)),I99*1000000*I59/3600,"SLO 不可達")</f>
        <v>680.059057407274</v>
      </c>
      <c r="J100" s="65" t="n">
        <f aca="false">IF(AND(ISNUMBER(J59)),J99*1000000*J59/3600,"SLO 不可達")</f>
        <v>6258.21317538632</v>
      </c>
      <c r="K100" s="65" t="n">
        <f aca="false">IF(AND(ISNUMBER(K59)),K99*1000000*K59/3600,"SLO 不可達")</f>
        <v>56676.3924853758</v>
      </c>
      <c r="L100" s="65" t="n">
        <f aca="false">IF(AND(ISNUMBER(L59)),L99*1000000*L59/3600,"SLO 不可達")</f>
        <v>385.922010290501</v>
      </c>
      <c r="M100" s="65" t="n">
        <f aca="false">IF(AND(ISNUMBER(M59)),M99*1000000*M59/3600,"SLO 不可達")</f>
        <v>3456.38955362504</v>
      </c>
      <c r="N100" s="65" t="n">
        <f aca="false">IF(AND(ISNUMBER(N59)),N99*1000000*N59/3600,"SLO 不可達")</f>
        <v>29469.1009270007</v>
      </c>
      <c r="O100" s="65" t="n">
        <f aca="false">IF(AND(ISNUMBER(O59)),O99*1000000*O59/3600,"SLO 不可達")</f>
        <v>144.449589773186</v>
      </c>
      <c r="P100" s="65" t="n">
        <f aca="false">IF(AND(ISNUMBER(P59)),P99*1000000*P59/3600,"SLO 不可達")</f>
        <v>1283.59287170469</v>
      </c>
      <c r="Q100" s="65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58" t="s">
        <v>1068</v>
      </c>
      <c r="B101" s="59" t="s">
        <v>301</v>
      </c>
      <c r="C101" s="142" t="n">
        <f aca="false">C99*1000000000000*C61*1000000000</f>
        <v>7.7434393673728E+020</v>
      </c>
      <c r="D101" s="142" t="n">
        <f aca="false">D99*1000000000000*D61*1000000000</f>
        <v>6.6655872356352E+021</v>
      </c>
      <c r="E101" s="142" t="n">
        <f aca="false">E99*1000000000000*E61*1000000000</f>
        <v>5.210612736E+022</v>
      </c>
      <c r="F101" s="142" t="n">
        <f aca="false">F99*1000000000000*F61*1000000000</f>
        <v>7.7434393673728E+020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7.7434393673728E+020</v>
      </c>
      <c r="J101" s="142" t="n">
        <f aca="false">J99*1000000000000*J61*1000000000</f>
        <v>6.6655872356352E+021</v>
      </c>
      <c r="K101" s="142" t="n">
        <f aca="false">K99*1000000000000*K61*1000000000</f>
        <v>5.210612736E+022</v>
      </c>
      <c r="L101" s="142" t="n">
        <f aca="false">L99*1000000000000*L61*1000000000</f>
        <v>7.7434393673728E+020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7.7434393673728E+020</v>
      </c>
      <c r="P101" s="142" t="n">
        <f aca="false">P99*1000000000000*P61*1000000000</f>
        <v>6.6655872356352E+021</v>
      </c>
      <c r="Q101" s="14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1069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8" t="s">
        <v>1070</v>
      </c>
      <c r="B103" s="59" t="s">
        <v>1010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8" t="s">
        <v>1071</v>
      </c>
      <c r="B104" s="59" t="s">
        <v>1010</v>
      </c>
      <c r="C104" s="65" t="n">
        <f aca="false">IF(AND(ISNUMBER(C75),ISNUMBER(C90)),C51+C75+C90,"SLO 不可達")</f>
        <v>1021425.82566466</v>
      </c>
      <c r="D104" s="65" t="n">
        <f aca="false">IF(AND(ISNUMBER(D75),ISNUMBER(D90)),D51+D75+D90,"SLO 不可達")</f>
        <v>3742067.61244357</v>
      </c>
      <c r="E104" s="65" t="n">
        <f aca="false">IF(AND(ISNUMBER(E75),ISNUMBER(E90)),E51+E75+E90,"SLO 不可達")</f>
        <v>57502466.7302614</v>
      </c>
      <c r="F104" s="65" t="n">
        <f aca="false">IF(AND(ISNUMBER(F75),ISNUMBER(F90)),F51+F75+F90,"SLO 不可達")</f>
        <v>339902.296689943</v>
      </c>
      <c r="G104" s="65" t="n">
        <f aca="false">IF(AND(ISNUMBER(G75),ISNUMBER(G90)),G51+G75+G90,"SLO 不可達")</f>
        <v>1207069.92882012</v>
      </c>
      <c r="H104" s="65" t="n">
        <f aca="false">IF(AND(ISNUMBER(H75),ISNUMBER(H90)),H51+H75+H90,"SLO 不可達")</f>
        <v>18233602.1440843</v>
      </c>
      <c r="I104" s="65" t="n">
        <f aca="false">IF(AND(ISNUMBER(I75),ISNUMBER(I90)),I51+I75+I90,"SLO 不可達")</f>
        <v>288312.208182875</v>
      </c>
      <c r="J104" s="65" t="n">
        <f aca="false">IF(AND(ISNUMBER(J75),ISNUMBER(J90)),J51+J75+J90,"SLO 不可達")</f>
        <v>1017017.23683086</v>
      </c>
      <c r="K104" s="65" t="n">
        <f aca="false">IF(AND(ISNUMBER(K75),ISNUMBER(K90)),K51+K75+K90,"SLO 不可達")</f>
        <v>15313205.1885937</v>
      </c>
      <c r="L104" s="65" t="n">
        <f aca="false">IF(AND(ISNUMBER(L75),ISNUMBER(L90)),L51+L75+L90,"SLO 不可達")</f>
        <v>117217.93801916</v>
      </c>
      <c r="M104" s="65" t="n">
        <f aca="false">IF(AND(ISNUMBER(M75),ISNUMBER(M90)),M51+M75+M90,"SLO 不可達")</f>
        <v>411736.625794877</v>
      </c>
      <c r="N104" s="65" t="n">
        <f aca="false">IF(AND(ISNUMBER(N75),ISNUMBER(N90)),N51+N75+N90,"SLO 不可達")</f>
        <v>6186311.43998631</v>
      </c>
      <c r="O104" s="65" t="n">
        <f aca="false">IF(AND(ISNUMBER(O75),ISNUMBER(O90)),O51+O75+O90,"SLO 不可達")</f>
        <v>51303.720577081</v>
      </c>
      <c r="P104" s="65" t="n">
        <f aca="false">IF(AND(ISNUMBER(P75),ISNUMBER(P90)),P51+P75+P90,"SLO 不可達")</f>
        <v>179087.586378002</v>
      </c>
      <c r="Q104" s="65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58" t="s">
        <v>1072</v>
      </c>
      <c r="B105" s="59" t="s">
        <v>1010</v>
      </c>
      <c r="C105" s="65" t="n">
        <f aca="false">IF(AND(ISNUMBER(C97),ISNUMBER(C100)),C97+C100,"SLO 不可達")</f>
        <v>3049615.81801258</v>
      </c>
      <c r="D105" s="65" t="n">
        <f aca="false">IF(AND(ISNUMBER(D97),ISNUMBER(D100)),D97+D100,"SLO 不可達")</f>
        <v>6126652.06231326</v>
      </c>
      <c r="E105" s="65" t="n">
        <f aca="false">IF(AND(ISNUMBER(E97),ISNUMBER(E100)),E97+E100,"SLO 不可達")</f>
        <v>9442651.73498115</v>
      </c>
      <c r="F105" s="65" t="n">
        <f aca="false">IF(AND(ISNUMBER(F97),ISNUMBER(F100)),F97+F100,"SLO 不可達")</f>
        <v>820384.117063266</v>
      </c>
      <c r="G105" s="65" t="n">
        <f aca="false">IF(AND(ISNUMBER(G97),ISNUMBER(G100)),G97+G100,"SLO 不可達")</f>
        <v>1648115.37671739</v>
      </c>
      <c r="H105" s="65" t="n">
        <f aca="false">IF(AND(ISNUMBER(H97),ISNUMBER(H100)),H97+H100,"SLO 不可達")</f>
        <v>2540028.48827918</v>
      </c>
      <c r="I105" s="65" t="n">
        <f aca="false">IF(AND(ISNUMBER(I97),ISNUMBER(I100)),I97+I100,"SLO 不可達")</f>
        <v>567443.983911165</v>
      </c>
      <c r="J105" s="65" t="n">
        <f aca="false">IF(AND(ISNUMBER(J97),ISNUMBER(J100)),J97+J100,"SLO 不可達")</f>
        <v>1139786.0628829</v>
      </c>
      <c r="K105" s="65" t="n">
        <f aca="false">IF(AND(ISNUMBER(K97),ISNUMBER(K100)),K97+K100,"SLO 不可達")</f>
        <v>1756968.16704665</v>
      </c>
      <c r="L105" s="65" t="n">
        <f aca="false">IF(AND(ISNUMBER(L97),ISNUMBER(L100)),L97+L100,"SLO 不可達")</f>
        <v>295076.931280297</v>
      </c>
      <c r="M105" s="65" t="n">
        <f aca="false">IF(AND(ISNUMBER(M97),ISNUMBER(M100)),M97+M100,"SLO 不可達")</f>
        <v>592838.408093639</v>
      </c>
      <c r="N105" s="65" t="n">
        <f aca="false">IF(AND(ISNUMBER(N97),ISNUMBER(N100)),N97+N100,"SLO 不可達")</f>
        <v>913542.128737021</v>
      </c>
      <c r="O105" s="65" t="n">
        <f aca="false">IF(AND(ISNUMBER(O97),ISNUMBER(O100)),O97+O100,"SLO 不可達")</f>
        <v>107805.489254781</v>
      </c>
      <c r="P105" s="65" t="n">
        <f aca="false">IF(AND(ISNUMBER(P97),ISNUMBER(P100)),P97+P100,"SLO 不可達")</f>
        <v>216605.67220172</v>
      </c>
      <c r="Q105" s="65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58" t="s">
        <v>1073</v>
      </c>
      <c r="B106" s="59" t="s">
        <v>1010</v>
      </c>
      <c r="C106" s="68" t="n">
        <f aca="false">IF(AND(ISNUMBER(C104),ISNUMBER(C105)),C103+C104+C105,"SLO 不可達")</f>
        <v>6394168.86869692</v>
      </c>
      <c r="D106" s="68" t="n">
        <f aca="false">IF(AND(ISNUMBER(D104),ISNUMBER(D105)),D103+D104+D105,"SLO 不可達")</f>
        <v>18199062.8050043</v>
      </c>
      <c r="E106" s="68" t="n">
        <f aca="false">IF(AND(ISNUMBER(E104),ISNUMBER(E105)),E103+E104+E105,"SLO 不可達")</f>
        <v>112183463.020854</v>
      </c>
      <c r="F106" s="68" t="n">
        <f aca="false">IF(AND(ISNUMBER(F104),ISNUMBER(F105)),F103+F104+F105,"SLO 不可達")</f>
        <v>2079780.169416</v>
      </c>
      <c r="G106" s="68" t="n">
        <f aca="false">IF(AND(ISNUMBER(G104),ISNUMBER(G105)),G103+G104+G105,"SLO 不可達")</f>
        <v>6152335.11648947</v>
      </c>
      <c r="H106" s="68" t="n">
        <f aca="false">IF(AND(ISNUMBER(H104),ISNUMBER(H105)),H103+H104+H105,"SLO 不可達")</f>
        <v>38678967.4074746</v>
      </c>
      <c r="I106" s="68" t="n">
        <f aca="false">IF(AND(ISNUMBER(I104),ISNUMBER(I105)),I103+I104+I105,"SLO 不可達")</f>
        <v>1775249.94775683</v>
      </c>
      <c r="J106" s="68" t="n">
        <f aca="false">IF(AND(ISNUMBER(J104),ISNUMBER(J105)),J103+J104+J105,"SLO 不可達")</f>
        <v>5453953.11066573</v>
      </c>
      <c r="K106" s="68" t="n">
        <f aca="false">IF(AND(ISNUMBER(K104),ISNUMBER(K105)),K103+K104+K105,"SLO 不可達")</f>
        <v>34975510.1307514</v>
      </c>
      <c r="L106" s="68" t="n">
        <f aca="false">IF(AND(ISNUMBER(L104),ISNUMBER(L105)),L103+L104+L105,"SLO 不可達")</f>
        <v>704197.648874947</v>
      </c>
      <c r="M106" s="68" t="n">
        <f aca="false">IF(AND(ISNUMBER(M104),ISNUMBER(M105)),M103+M104+M105,"SLO 不可達")</f>
        <v>2051289.25958755</v>
      </c>
      <c r="N106" s="68" t="n">
        <f aca="false">IF(AND(ISNUMBER(N104),ISNUMBER(N105)),N103+N104+N105,"SLO 不可達")</f>
        <v>12784087.465584</v>
      </c>
      <c r="O106" s="68" t="n">
        <f aca="false">IF(AND(ISNUMBER(O104),ISNUMBER(O105)),O103+O104+O105,"SLO 不可達")</f>
        <v>305060.599619606</v>
      </c>
      <c r="P106" s="68" t="n">
        <f aca="false">IF(AND(ISNUMBER(P104),ISNUMBER(P105)),P103+P104+P105,"SLO 不可達")</f>
        <v>919050.37142924</v>
      </c>
      <c r="Q106" s="68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58" t="s">
        <v>1074</v>
      </c>
      <c r="B107" s="59" t="s">
        <v>301</v>
      </c>
      <c r="C107" s="142" t="n">
        <f aca="false">C35+C42</f>
        <v>3.7239497104343E+024</v>
      </c>
      <c r="D107" s="142" t="n">
        <f aca="false">D35+D42</f>
        <v>1.33534567343555E+025</v>
      </c>
      <c r="E107" s="142" t="n">
        <f aca="false">E35+E42</f>
        <v>7.25166139392E+025</v>
      </c>
      <c r="F107" s="142" t="n">
        <f aca="false">F35+F42</f>
        <v>3.7239497104343E+024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3.7239497104343E+024</v>
      </c>
      <c r="J107" s="142" t="n">
        <f aca="false">J35+J42</f>
        <v>1.33534567343555E+025</v>
      </c>
      <c r="K107" s="142" t="n">
        <f aca="false">K35+K42</f>
        <v>7.25166139392E+025</v>
      </c>
      <c r="L107" s="142" t="n">
        <f aca="false">L35+L42</f>
        <v>3.7239497104343E+024</v>
      </c>
      <c r="M107" s="142" t="n">
        <f aca="false">M35+M42</f>
        <v>1.33534567343555E+025</v>
      </c>
      <c r="N107" s="142" t="n">
        <f aca="false">N35+N42</f>
        <v>7.25166139392E+025</v>
      </c>
      <c r="O107" s="142" t="n">
        <f aca="false">O35+O42</f>
        <v>3.7239497104343E+024</v>
      </c>
      <c r="P107" s="142" t="n">
        <f aca="false">P35+P42</f>
        <v>1.33534567343555E+025</v>
      </c>
      <c r="Q107" s="142" t="n">
        <f aca="false">Q35+Q42</f>
        <v>7.25166139392E+025</v>
      </c>
    </row>
    <row r="108" customFormat="false" ht="15" hidden="false" customHeight="false" outlineLevel="0" collapsed="false">
      <c r="A108" s="58" t="s">
        <v>1075</v>
      </c>
      <c r="B108" s="59" t="s">
        <v>301</v>
      </c>
      <c r="C108" s="142" t="n">
        <f aca="false">C49+C76+C91</f>
        <v>5.62513097631898E+023</v>
      </c>
      <c r="D108" s="142" t="n">
        <f aca="false">D49+D76+D91</f>
        <v>1.94311098372492E+024</v>
      </c>
      <c r="E108" s="142" t="n">
        <f aca="false">E49+E76+E91</f>
        <v>2.666974089216E+025</v>
      </c>
      <c r="F108" s="142" t="n">
        <f aca="false">F49+F76+F91</f>
        <v>5.62513097631898E+023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5.62513097631898E+023</v>
      </c>
      <c r="J108" s="142" t="n">
        <f aca="false">J49+J76+J91</f>
        <v>1.94311098372492E+024</v>
      </c>
      <c r="K108" s="142" t="n">
        <f aca="false">K49+K76+K91</f>
        <v>2.666974089216E+025</v>
      </c>
      <c r="L108" s="142" t="n">
        <f aca="false">L49+L76+L91</f>
        <v>5.62513097631898E+023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5.62513097631898E+023</v>
      </c>
      <c r="P108" s="142" t="n">
        <f aca="false">P49+P76+P91</f>
        <v>1.94311098372492E+024</v>
      </c>
      <c r="Q108" s="142" t="n">
        <f aca="false">Q49+Q76+Q91</f>
        <v>2.666974089216E+025</v>
      </c>
    </row>
    <row r="109" customFormat="false" ht="15" hidden="false" customHeight="false" outlineLevel="0" collapsed="false">
      <c r="A109" s="58" t="s">
        <v>1076</v>
      </c>
      <c r="B109" s="59" t="s">
        <v>301</v>
      </c>
      <c r="C109" s="142" t="n">
        <f aca="false">C107+C108+C98+C101</f>
        <v>4.80829842560294E+024</v>
      </c>
      <c r="D109" s="142" t="n">
        <f aca="false">D107+D108+D98+D101</f>
        <v>1.6345355852516E+025</v>
      </c>
      <c r="E109" s="142" t="n">
        <f aca="false">E107+E108+E98+E101</f>
        <v>1.0080164477952E+026</v>
      </c>
      <c r="F109" s="142" t="n">
        <f aca="false">F107+F108+F98+F101</f>
        <v>4.80829842560294E+024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4.80829842560294E+024</v>
      </c>
      <c r="J109" s="142" t="n">
        <f aca="false">J107+J108+J98+J101</f>
        <v>1.6345355852516E+025</v>
      </c>
      <c r="K109" s="142" t="n">
        <f aca="false">K107+K108+K98+K101</f>
        <v>1.0080164477952E+026</v>
      </c>
      <c r="L109" s="142" t="n">
        <f aca="false">L107+L108+L98+L101</f>
        <v>4.80829842560294E+024</v>
      </c>
      <c r="M109" s="142" t="n">
        <f aca="false">M107+M108+M98+M101</f>
        <v>1.6345355852516E+025</v>
      </c>
      <c r="N109" s="142" t="n">
        <f aca="false">N107+N108+N98+N101</f>
        <v>1.0080164477952E+026</v>
      </c>
      <c r="O109" s="142" t="n">
        <f aca="false">O107+O108+O98+O101</f>
        <v>4.80829842560294E+024</v>
      </c>
      <c r="P109" s="142" t="n">
        <f aca="false">P107+P108+P98+P101</f>
        <v>1.6345355852516E+025</v>
      </c>
      <c r="Q109" s="142" t="n">
        <f aca="false">Q107+Q108+Q98+Q101</f>
        <v>1.0080164477952E+026</v>
      </c>
    </row>
    <row r="110" customFormat="false" ht="15" hidden="false" customHeight="false" outlineLevel="0" collapsed="false">
      <c r="A110" s="58" t="s">
        <v>1077</v>
      </c>
      <c r="B110" s="59" t="s">
        <v>93</v>
      </c>
      <c r="C110" s="99" t="n">
        <f aca="false">C108/(C107+C108)</f>
        <v>0.131230136086418</v>
      </c>
      <c r="D110" s="99" t="n">
        <f aca="false">D108/(D107+D108)</f>
        <v>0.127029214627552</v>
      </c>
      <c r="E110" s="99" t="n">
        <f aca="false">E108/(E107+E108)</f>
        <v>0.268885180199482</v>
      </c>
      <c r="F110" s="99" t="n">
        <f aca="false">F108/(F107+F108)</f>
        <v>0.131230136086418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0.131230136086418</v>
      </c>
      <c r="J110" s="99" t="n">
        <f aca="false">J108/(J107+J108)</f>
        <v>0.127029214627552</v>
      </c>
      <c r="K110" s="99" t="n">
        <f aca="false">K108/(K107+K108)</f>
        <v>0.268885180199482</v>
      </c>
      <c r="L110" s="99" t="n">
        <f aca="false">L108/(L107+L108)</f>
        <v>0.131230136086418</v>
      </c>
      <c r="M110" s="99" t="n">
        <f aca="false">M108/(M107+M108)</f>
        <v>0.127029214627552</v>
      </c>
      <c r="N110" s="99" t="n">
        <f aca="false">N108/(N107+N108)</f>
        <v>0.268885180199482</v>
      </c>
      <c r="O110" s="99" t="n">
        <f aca="false">O108/(O107+O108)</f>
        <v>0.131230136086418</v>
      </c>
      <c r="P110" s="99" t="n">
        <f aca="false">P108/(P107+P108)</f>
        <v>0.127029214627552</v>
      </c>
      <c r="Q110" s="99" t="n">
        <f aca="false">Q108/(Q107+Q108)</f>
        <v>0.268885180199482</v>
      </c>
    </row>
    <row r="111" customFormat="false" ht="15" hidden="false" customHeight="false" outlineLevel="0" collapsed="false">
      <c r="A111" s="58" t="s">
        <v>1078</v>
      </c>
      <c r="B111" s="59" t="s">
        <v>93</v>
      </c>
      <c r="C111" s="99" t="n">
        <f aca="false">IF(AND(ISNUMBER(C104)),C104/(C103+C104),"SLO 不可達")</f>
        <v>0.30539979787603</v>
      </c>
      <c r="D111" s="99" t="n">
        <f aca="false">IF(AND(ISNUMBER(D104)),D104/(D103+D104),"SLO 不可達")</f>
        <v>0.309968546647496</v>
      </c>
      <c r="E111" s="99" t="n">
        <f aca="false">IF(AND(ISNUMBER(E104)),E104/(E103+E104),"SLO 不可達")</f>
        <v>0.55968476412224</v>
      </c>
      <c r="F111" s="99" t="n">
        <f aca="false">IF(AND(ISNUMBER(F104)),F104/(F103+F104),"SLO 不可達")</f>
        <v>0.269893093641953</v>
      </c>
      <c r="G111" s="99" t="n">
        <f aca="false">IF(AND(ISNUMBER(G104)),G104/(G103+G104),"SLO 不可達")</f>
        <v>0.267986465704979</v>
      </c>
      <c r="H111" s="99" t="n">
        <f aca="false">IF(AND(ISNUMBER(H104)),H104/(H103+H104),"SLO 不可達")</f>
        <v>0.504541712883535</v>
      </c>
      <c r="I111" s="99" t="n">
        <f aca="false">IF(AND(ISNUMBER(I104)),I104/(I103+I104),"SLO 不可達")</f>
        <v>0.238707389111481</v>
      </c>
      <c r="J111" s="99" t="n">
        <f aca="false">IF(AND(ISNUMBER(J104)),J104/(J103+J104),"SLO 不可達")</f>
        <v>0.235738956226448</v>
      </c>
      <c r="K111" s="99" t="n">
        <f aca="false">IF(AND(ISNUMBER(K104)),K104/(K103+K104),"SLO 不可達")</f>
        <v>0.460983664042966</v>
      </c>
      <c r="L111" s="99" t="n">
        <f aca="false">IF(AND(ISNUMBER(L104)),L104/(L103+L104),"SLO 不可達")</f>
        <v>0.286511860627156</v>
      </c>
      <c r="M111" s="99" t="n">
        <f aca="false">IF(AND(ISNUMBER(M104)),M104/(M103+M104),"SLO 不可達")</f>
        <v>0.282310936548276</v>
      </c>
      <c r="N111" s="99" t="n">
        <f aca="false">IF(AND(ISNUMBER(N104)),N104/(N103+N104),"SLO 不可達")</f>
        <v>0.521148040333377</v>
      </c>
      <c r="O111" s="99" t="n">
        <f aca="false">IF(AND(ISNUMBER(O104)),O104/(O103+O104),"SLO 不可達")</f>
        <v>0.26008816948871</v>
      </c>
      <c r="P111" s="99" t="n">
        <f aca="false">IF(AND(ISNUMBER(P104)),P104/(P103+P104),"SLO 不可達")</f>
        <v>0.254949018157508</v>
      </c>
      <c r="Q111" s="99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58" t="s">
        <v>1079</v>
      </c>
      <c r="B112" s="59" t="s">
        <v>1010</v>
      </c>
      <c r="C112" s="65" t="n">
        <f aca="false">IF(AND(ISNUMBER(C65),ISNUMBER(C86),ISNUMBER(C97),ISNUMBER(C100)),C65+C74+C86+C87+C97+C100,"SLO 不可達")</f>
        <v>3603300.28145202</v>
      </c>
      <c r="D112" s="65" t="n">
        <f aca="false">IF(AND(ISNUMBER(D65),ISNUMBER(D86),ISNUMBER(D97),ISNUMBER(D100)),D65+D74+D86+D87+D97+D100,"SLO 不可達")</f>
        <v>8259543.69483683</v>
      </c>
      <c r="E112" s="65" t="n">
        <f aca="false">IF(AND(ISNUMBER(E65),ISNUMBER(E86),ISNUMBER(E97),ISNUMBER(E100)),E65+E74+E86+E87+E97+E100,"SLO 不可達")</f>
        <v>44806114.353177</v>
      </c>
      <c r="F112" s="65" t="n">
        <f aca="false">IF(AND(ISNUMBER(F65),ISNUMBER(F86),ISNUMBER(F97),ISNUMBER(F100)),F65+F74+F86+F87+F97+F100,"SLO 不可達")</f>
        <v>975154.38258447</v>
      </c>
      <c r="G112" s="65" t="n">
        <f aca="false">IF(AND(ISNUMBER(G65),ISNUMBER(G86),ISNUMBER(G97),ISNUMBER(G100)),G65+G74+G86+G87+G97+G100,"SLO 不可達")</f>
        <v>2218273.45268517</v>
      </c>
      <c r="H112" s="65" t="n">
        <f aca="false">IF(AND(ISNUMBER(H65),ISNUMBER(H86),ISNUMBER(H97),ISNUMBER(H100)),H65+H74+H86+H87+H97+H100,"SLO 不可達")</f>
        <v>12011012.804808</v>
      </c>
      <c r="I112" s="65" t="n">
        <f aca="false">IF(AND(ISNUMBER(I65),ISNUMBER(I86),ISNUMBER(I97),ISNUMBER(I100)),I65+I74+I86+I87+I97+I100,"SLO 不可達")</f>
        <v>670624.160925301</v>
      </c>
      <c r="J112" s="65" t="n">
        <f aca="false">IF(AND(ISNUMBER(J65),ISNUMBER(J86),ISNUMBER(J97),ISNUMBER(J100)),J65+J74+J86+J87+J97+J100,"SLO 不可達")</f>
        <v>1519891.44686142</v>
      </c>
      <c r="K112" s="65" t="n">
        <f aca="false">IF(AND(ISNUMBER(K65),ISNUMBER(K86),ISNUMBER(K97),ISNUMBER(K100)),K65+K74+K86+K87+K97+K100,"SLO 不可達")</f>
        <v>8307555.52808475</v>
      </c>
      <c r="L112" s="65" t="n">
        <f aca="false">IF(AND(ISNUMBER(L65),ISNUMBER(L86),ISNUMBER(L97),ISNUMBER(L100)),L65+L74+L86+L87+L97+L100,"SLO 不可達")</f>
        <v>353522.795912556</v>
      </c>
      <c r="M112" s="65" t="n">
        <f aca="false">IF(AND(ISNUMBER(M65),ISNUMBER(M86),ISNUMBER(M97),ISNUMBER(M100)),M65+M74+M86+M87+M97+M100,"SLO 不可達")</f>
        <v>802380.794887774</v>
      </c>
      <c r="N112" s="65" t="n">
        <f aca="false">IF(AND(ISNUMBER(N65),ISNUMBER(N86),ISNUMBER(N97),ISNUMBER(N100)),N65+N74+N86+N87+N97+N100,"SLO 不可達")</f>
        <v>4318070.1314041</v>
      </c>
      <c r="O112" s="65" t="n">
        <f aca="false">IF(AND(ISNUMBER(O65),ISNUMBER(O86),ISNUMBER(O97),ISNUMBER(O100)),O65+O74+O86+O87+O97+O100,"SLO 不可達")</f>
        <v>129723.173138411</v>
      </c>
      <c r="P112" s="65" t="n">
        <f aca="false">IF(AND(ISNUMBER(P65),ISNUMBER(P86),ISNUMBER(P97),ISNUMBER(P100)),P65+P74+P86+P87+P97+P100,"SLO 不可達")</f>
        <v>294596.139079351</v>
      </c>
      <c r="Q112" s="65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58" t="s">
        <v>1080</v>
      </c>
      <c r="B113" s="59" t="s">
        <v>1010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8" t="s">
        <v>1081</v>
      </c>
      <c r="B114" s="59" t="s">
        <v>93</v>
      </c>
      <c r="C114" s="101" t="n">
        <f aca="false">IF(AND(ISNUMBER(C112),ISNUMBER(C106)),C112/C106,"SLO 不可達")</f>
        <v>0.563529108386896</v>
      </c>
      <c r="D114" s="101" t="n">
        <f aca="false">IF(AND(ISNUMBER(D112),ISNUMBER(D106)),D112/D106,"SLO 不可達")</f>
        <v>0.453844452504754</v>
      </c>
      <c r="E114" s="101" t="n">
        <f aca="false">IF(AND(ISNUMBER(E112),ISNUMBER(E106)),E112/E106,"SLO 不可達")</f>
        <v>0.399400349629498</v>
      </c>
      <c r="F114" s="101" t="n">
        <f aca="false">IF(AND(ISNUMBER(F112),ISNUMBER(F106)),F112/F106,"SLO 不可達")</f>
        <v>0.468873776625292</v>
      </c>
      <c r="G114" s="101" t="n">
        <f aca="false">IF(AND(ISNUMBER(G112),ISNUMBER(G106)),G112/G106,"SLO 不可達")</f>
        <v>0.360557968752346</v>
      </c>
      <c r="H114" s="101" t="n">
        <f aca="false">IF(AND(ISNUMBER(H112),ISNUMBER(H106)),H112/H106,"SLO 不可達")</f>
        <v>0.310530854618597</v>
      </c>
      <c r="I114" s="101" t="n">
        <f aca="false">IF(AND(ISNUMBER(I112),ISNUMBER(I106)),I112/I106,"SLO 不可達")</f>
        <v>0.377763233719673</v>
      </c>
      <c r="J114" s="101" t="n">
        <f aca="false">IF(AND(ISNUMBER(J112),ISNUMBER(J106)),J112/J106,"SLO 不可達")</f>
        <v>0.278677028573849</v>
      </c>
      <c r="K114" s="101" t="n">
        <f aca="false">IF(AND(ISNUMBER(K112),ISNUMBER(K106)),K112/K106,"SLO 不可達")</f>
        <v>0.2375249280719</v>
      </c>
      <c r="L114" s="101" t="n">
        <f aca="false">IF(AND(ISNUMBER(L112),ISNUMBER(L106)),L112/L106,"SLO 不可達")</f>
        <v>0.502022119041945</v>
      </c>
      <c r="M114" s="101" t="n">
        <f aca="false">IF(AND(ISNUMBER(M112),ISNUMBER(M106)),M112/M106,"SLO 不可達")</f>
        <v>0.391159262955</v>
      </c>
      <c r="N114" s="101" t="n">
        <f aca="false">IF(AND(ISNUMBER(N112),ISNUMBER(N106)),N112/N106,"SLO 不可達")</f>
        <v>0.337769132370908</v>
      </c>
      <c r="O114" s="101" t="n">
        <f aca="false">IF(AND(ISNUMBER(O112),ISNUMBER(O106)),O112/O106,"SLO 不可達")</f>
        <v>0.425237389883087</v>
      </c>
      <c r="P114" s="101" t="n">
        <f aca="false">IF(AND(ISNUMBER(P112),ISNUMBER(P106)),P112/P106,"SLO 不可達")</f>
        <v>0.320544061824616</v>
      </c>
      <c r="Q114" s="101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58" t="s">
        <v>1082</v>
      </c>
      <c r="B115" s="59" t="s">
        <v>865</v>
      </c>
      <c r="C115" s="110" t="n">
        <f aca="false">IF(AND(ISNUMBER(C106)),C106*C19/1000000,"SLO 不可達")</f>
        <v>9.86362282325948</v>
      </c>
      <c r="D115" s="110" t="n">
        <f aca="false">IF(AND(ISNUMBER(D106)),D106*D19/1000000,"SLO 不可達")</f>
        <v>28.0738114572123</v>
      </c>
      <c r="E115" s="110" t="n">
        <f aca="false">IF(AND(ISNUMBER(E106)),E106*E19/1000000,"SLO 不可達")</f>
        <v>173.053822782489</v>
      </c>
      <c r="F115" s="110" t="n">
        <f aca="false">IF(AND(ISNUMBER(F106)),F106*F19/1000000,"SLO 不可達")</f>
        <v>4.17715735160942</v>
      </c>
      <c r="G115" s="110" t="n">
        <f aca="false">IF(AND(ISNUMBER(G106)),G106*G19/1000000,"SLO 不可達")</f>
        <v>12.3567251189942</v>
      </c>
      <c r="H115" s="110" t="n">
        <f aca="false">IF(AND(ISNUMBER(H106)),H106*H19/1000000,"SLO 不可達")</f>
        <v>77.6851974236113</v>
      </c>
      <c r="I115" s="110" t="n">
        <f aca="false">IF(AND(ISNUMBER(I106)),I106*I19/1000000,"SLO 不可達")</f>
        <v>4.53006082719016</v>
      </c>
      <c r="J115" s="110" t="n">
        <f aca="false">IF(AND(ISNUMBER(J106)),J106*J19/1000000,"SLO 不可達")</f>
        <v>13.9173299912937</v>
      </c>
      <c r="K115" s="110" t="n">
        <f aca="false">IF(AND(ISNUMBER(K106)),K106*K19/1000000,"SLO 不可達")</f>
        <v>89.2500735203584</v>
      </c>
      <c r="L115" s="110" t="n">
        <f aca="false">IF(AND(ISNUMBER(L106)),L106*L19/1000000,"SLO 不可達")</f>
        <v>3.36863635569634</v>
      </c>
      <c r="M115" s="110" t="n">
        <f aca="false">IF(AND(ISNUMBER(M106)),M106*M19/1000000,"SLO 不可達")</f>
        <v>9.8126535738025</v>
      </c>
      <c r="N115" s="110" t="n">
        <f aca="false">IF(AND(ISNUMBER(N106)),N106*N19/1000000,"SLO 不可達")</f>
        <v>61.1546231086832</v>
      </c>
      <c r="O115" s="110" t="n">
        <f aca="false">IF(AND(ISNUMBER(O106)),O106*O19/1000000,"SLO 不可達")</f>
        <v>2.74547464356203</v>
      </c>
      <c r="P115" s="110" t="n">
        <f aca="false">IF(AND(ISNUMBER(P106)),P106*P19/1000000,"SLO 不可達")</f>
        <v>8.27124018657791</v>
      </c>
      <c r="Q115" s="110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58" t="s">
        <v>1083</v>
      </c>
      <c r="B116" s="59" t="s">
        <v>865</v>
      </c>
      <c r="C116" s="72" t="n">
        <f aca="false">IF(AND(ISNUMBER(C106)),C106*C20/1000000,"SLO 不可達")</f>
        <v>7.22165598079139</v>
      </c>
      <c r="D116" s="72" t="n">
        <f aca="false">IF(AND(ISNUMBER(D106)),D106*D20/1000000,"SLO 不可達")</f>
        <v>20.5542539537811</v>
      </c>
      <c r="E116" s="72" t="n">
        <f aca="false">IF(AND(ISNUMBER(E106)),E106*E20/1000000,"SLO 不可達")</f>
        <v>126.701435840487</v>
      </c>
      <c r="F116" s="72" t="n">
        <f aca="false">IF(AND(ISNUMBER(F106)),F106*F20/1000000,"SLO 不可達")</f>
        <v>3.05150971473876</v>
      </c>
      <c r="G116" s="72" t="n">
        <f aca="false">IF(AND(ISNUMBER(G106)),G106*G20/1000000,"SLO 不可達")</f>
        <v>9.02687248026205</v>
      </c>
      <c r="H116" s="72" t="n">
        <f aca="false">IF(AND(ISNUMBER(H106)),H106*H20/1000000,"SLO 不可達")</f>
        <v>56.7508270997291</v>
      </c>
      <c r="I116" s="72" t="n">
        <f aca="false">IF(AND(ISNUMBER(I106)),I106*I20/1000000,"SLO 不可達")</f>
        <v>3.32477189415715</v>
      </c>
      <c r="J116" s="72" t="n">
        <f aca="false">IF(AND(ISNUMBER(J106)),J106*J20/1000000,"SLO 不可達")</f>
        <v>10.214420812858</v>
      </c>
      <c r="K116" s="72" t="n">
        <f aca="false">IF(AND(ISNUMBER(K106)),K106*K20/1000000,"SLO 不可達")</f>
        <v>65.5037862209021</v>
      </c>
      <c r="L116" s="72" t="n">
        <f aca="false">IF(AND(ISNUMBER(L106)),L106*L20/1000000,"SLO 不可達")</f>
        <v>2.47776162478379</v>
      </c>
      <c r="M116" s="72" t="n">
        <f aca="false">IF(AND(ISNUMBER(M106)),M106*M20/1000000,"SLO 不可達")</f>
        <v>7.21758417804626</v>
      </c>
      <c r="N116" s="72" t="n">
        <f aca="false">IF(AND(ISNUMBER(N106)),N106*N20/1000000,"SLO 不可達")</f>
        <v>44.9815778009344</v>
      </c>
      <c r="O116" s="72" t="n">
        <f aca="false">IF(AND(ISNUMBER(O106)),O106*O20/1000000,"SLO 不可達")</f>
        <v>2.02669398004938</v>
      </c>
      <c r="P116" s="72" t="n">
        <f aca="false">IF(AND(ISNUMBER(P106)),P106*P20/1000000,"SLO 不可達")</f>
        <v>6.1057831049319</v>
      </c>
      <c r="Q116" s="72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58" t="s">
        <v>1084</v>
      </c>
      <c r="B117" s="59" t="s">
        <v>93</v>
      </c>
      <c r="C117" s="143" t="n">
        <f aca="false">IF(AND(ISNUMBER(C106)),C106/(C18*8760),"SLO 不可達")</f>
        <v>0.00101654478955111</v>
      </c>
      <c r="D117" s="143" t="n">
        <f aca="false">IF(AND(ISNUMBER(D106)),D106/(D18*8760),"SLO 不可達")</f>
        <v>0.00289328650040966</v>
      </c>
      <c r="E117" s="143" t="n">
        <f aca="false">IF(AND(ISNUMBER(E106)),E106/(E18*8760),"SLO 不可達")</f>
        <v>0.0178349238422427</v>
      </c>
      <c r="F117" s="143" t="n">
        <f aca="false">IF(AND(ISNUMBER(F106)),F106/(F18*8760),"SLO 不可達")</f>
        <v>0.00047316255233276</v>
      </c>
      <c r="G117" s="143" t="n">
        <f aca="false">IF(AND(ISNUMBER(G106)),G106/(G18*8760),"SLO 不可達")</f>
        <v>0.00139969340478039</v>
      </c>
      <c r="H117" s="143" t="n">
        <f aca="false">IF(AND(ISNUMBER(H106)),H106/(H18*8760),"SLO 不可達")</f>
        <v>0.00879969874184123</v>
      </c>
      <c r="I117" s="143" t="n">
        <f aca="false">IF(AND(ISNUMBER(I106)),I106/(I18*8760),"SLO 不可達")</f>
        <v>0.000416120687186266</v>
      </c>
      <c r="J117" s="143" t="n">
        <f aca="false">IF(AND(ISNUMBER(J106)),J106/(J18*8760),"SLO 不可達")</f>
        <v>0.00127841305905098</v>
      </c>
      <c r="K117" s="143" t="n">
        <f aca="false">IF(AND(ISNUMBER(K106)),K106/(K18*8760),"SLO 不可達")</f>
        <v>0.00819830093710954</v>
      </c>
      <c r="L117" s="143" t="n">
        <f aca="false">IF(AND(ISNUMBER(L106)),L106/(L18*8760),"SLO 不可達")</f>
        <v>0.000275542460035546</v>
      </c>
      <c r="M117" s="143" t="n">
        <f aca="false">IF(AND(ISNUMBER(M106)),M106/(M18*8760),"SLO 不可達")</f>
        <v>0.000802640124877243</v>
      </c>
      <c r="N117" s="143" t="n">
        <f aca="false">IF(AND(ISNUMBER(N106)),N106/(N18*8760),"SLO 不可達")</f>
        <v>0.00500223043232874</v>
      </c>
      <c r="O117" s="143" t="n">
        <f aca="false">IF(AND(ISNUMBER(O106)),O106/(O18*8760),"SLO 不可達")</f>
        <v>0.000178806065737157</v>
      </c>
      <c r="P117" s="143" t="n">
        <f aca="false">IF(AND(ISNUMBER(P106)),P106/(P18*8760),"SLO 不可達")</f>
        <v>0.000538685695020754</v>
      </c>
      <c r="Q117" s="143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3" t="s">
        <v>1085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8" t="s">
        <v>1086</v>
      </c>
      <c r="B119" s="59" t="s">
        <v>97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</row>
    <row r="120" customFormat="false" ht="15" hidden="false" customHeight="false" outlineLevel="0" collapsed="false">
      <c r="A120" s="58" t="s">
        <v>1087</v>
      </c>
      <c r="B120" s="59" t="s">
        <v>1010</v>
      </c>
      <c r="C120" s="68" t="n">
        <f aca="false">IF(AND(ISNUMBER(C106)),C106*C119,"SLO 不可達")</f>
        <v>51153350.9495753</v>
      </c>
      <c r="D120" s="68" t="n">
        <f aca="false">IF(AND(ISNUMBER(D106)),D106*D119,"SLO 不可達")</f>
        <v>145592502.440035</v>
      </c>
      <c r="E120" s="68" t="n">
        <f aca="false">IF(AND(ISNUMBER(E106)),E106*E119,"SLO 不可達")</f>
        <v>897467704.166834</v>
      </c>
      <c r="F120" s="68" t="n">
        <f aca="false">IF(AND(ISNUMBER(F106)),F106*F119,"SLO 不可達")</f>
        <v>16638241.355328</v>
      </c>
      <c r="G120" s="68" t="n">
        <f aca="false">IF(AND(ISNUMBER(G106)),G106*G119,"SLO 不可達")</f>
        <v>49218680.9319158</v>
      </c>
      <c r="H120" s="68" t="n">
        <f aca="false">IF(AND(ISNUMBER(H106)),H106*H119,"SLO 不可達")</f>
        <v>309431739.259797</v>
      </c>
      <c r="I120" s="68" t="n">
        <f aca="false">IF(AND(ISNUMBER(I106)),I106*I119,"SLO 不可達")</f>
        <v>14201999.5820546</v>
      </c>
      <c r="J120" s="68" t="n">
        <f aca="false">IF(AND(ISNUMBER(J106)),J106*J119,"SLO 不可達")</f>
        <v>43631624.8853258</v>
      </c>
      <c r="K120" s="68" t="n">
        <f aca="false">IF(AND(ISNUMBER(K106)),K106*K119,"SLO 不可達")</f>
        <v>279804081.046011</v>
      </c>
      <c r="L120" s="68" t="n">
        <f aca="false">IF(AND(ISNUMBER(L106)),L106*L119,"SLO 不可達")</f>
        <v>5633581.19099958</v>
      </c>
      <c r="M120" s="68" t="n">
        <f aca="false">IF(AND(ISNUMBER(M106)),M106*M119,"SLO 不可達")</f>
        <v>16410314.0767004</v>
      </c>
      <c r="N120" s="68" t="n">
        <f aca="false">IF(AND(ISNUMBER(N106)),N106*N119,"SLO 不可達")</f>
        <v>102272699.724672</v>
      </c>
      <c r="O120" s="68" t="n">
        <f aca="false">IF(AND(ISNUMBER(O106)),O106*O119,"SLO 不可達")</f>
        <v>2440484.79695685</v>
      </c>
      <c r="P120" s="68" t="n">
        <f aca="false">IF(AND(ISNUMBER(P106)),P106*P119,"SLO 不可達")</f>
        <v>7352402.97143392</v>
      </c>
      <c r="Q120" s="68" t="n">
        <f aca="false">IF(AND(ISNUMBER(Q106)),Q106*Q119,"SLO 不可達")</f>
        <v>46491866.832671</v>
      </c>
    </row>
    <row r="121" customFormat="false" ht="15" hidden="false" customHeight="false" outlineLevel="0" collapsed="false">
      <c r="A121" s="58" t="s">
        <v>1088</v>
      </c>
      <c r="B121" s="59" t="s">
        <v>1010</v>
      </c>
      <c r="C121" s="65" t="n">
        <f aca="false">IF(AND(ISNUMBER(C120),ISNUMBER(C106)),C120-C106,"SLO 不可達")</f>
        <v>44759182.0808784</v>
      </c>
      <c r="D121" s="65" t="n">
        <f aca="false">IF(AND(ISNUMBER(D120),ISNUMBER(D106)),D120-D106,"SLO 不可達")</f>
        <v>127393439.63503</v>
      </c>
      <c r="E121" s="65" t="n">
        <f aca="false">IF(AND(ISNUMBER(E120),ISNUMBER(E106)),E120-E106,"SLO 不可達")</f>
        <v>785284241.14598</v>
      </c>
      <c r="F121" s="65" t="n">
        <f aca="false">IF(AND(ISNUMBER(F120),ISNUMBER(F106)),F120-F106,"SLO 不可達")</f>
        <v>14558461.185912</v>
      </c>
      <c r="G121" s="65" t="n">
        <f aca="false">IF(AND(ISNUMBER(G120),ISNUMBER(G106)),G120-G106,"SLO 不可達")</f>
        <v>43066345.8154263</v>
      </c>
      <c r="H121" s="65" t="n">
        <f aca="false">IF(AND(ISNUMBER(H120),ISNUMBER(H106)),H120-H106,"SLO 不可達")</f>
        <v>270752771.852322</v>
      </c>
      <c r="I121" s="65" t="n">
        <f aca="false">IF(AND(ISNUMBER(I120),ISNUMBER(I106)),I120-I106,"SLO 不可達")</f>
        <v>12426749.6342978</v>
      </c>
      <c r="J121" s="65" t="n">
        <f aca="false">IF(AND(ISNUMBER(J120),ISNUMBER(J106)),J120-J106,"SLO 不可達")</f>
        <v>38177671.7746601</v>
      </c>
      <c r="K121" s="65" t="n">
        <f aca="false">IF(AND(ISNUMBER(K120),ISNUMBER(K106)),K120-K106,"SLO 不可達")</f>
        <v>244828570.91526</v>
      </c>
      <c r="L121" s="65" t="n">
        <f aca="false">IF(AND(ISNUMBER(L120),ISNUMBER(L106)),L120-L106,"SLO 不可達")</f>
        <v>4929383.54212463</v>
      </c>
      <c r="M121" s="65" t="n">
        <f aca="false">IF(AND(ISNUMBER(M120),ISNUMBER(M106)),M120-M106,"SLO 不可達")</f>
        <v>14359024.8171129</v>
      </c>
      <c r="N121" s="65" t="n">
        <f aca="false">IF(AND(ISNUMBER(N120),ISNUMBER(N106)),N120-N106,"SLO 不可達")</f>
        <v>89488612.259088</v>
      </c>
      <c r="O121" s="65" t="n">
        <f aca="false">IF(AND(ISNUMBER(O120),ISNUMBER(O106)),O120-O106,"SLO 不可達")</f>
        <v>2135424.19733724</v>
      </c>
      <c r="P121" s="65" t="n">
        <f aca="false">IF(AND(ISNUMBER(P120),ISNUMBER(P106)),P120-P106,"SLO 不可達")</f>
        <v>6433352.60000468</v>
      </c>
      <c r="Q121" s="65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58" t="s">
        <v>1089</v>
      </c>
      <c r="B122" s="59" t="s">
        <v>865</v>
      </c>
      <c r="C122" s="68" t="n">
        <f aca="false">IF(AND(ISNUMBER(C120)),C120*C19/1000000,"SLO 不可達")</f>
        <v>78.9089825860758</v>
      </c>
      <c r="D122" s="68" t="n">
        <f aca="false">IF(AND(ISNUMBER(D120)),D120*D19/1000000,"SLO 不可達")</f>
        <v>224.590491657698</v>
      </c>
      <c r="E122" s="68" t="n">
        <f aca="false">IF(AND(ISNUMBER(E120)),E120*E19/1000000,"SLO 不可達")</f>
        <v>1384.43058225991</v>
      </c>
      <c r="F122" s="68" t="n">
        <f aca="false">IF(AND(ISNUMBER(F120)),F120*F19/1000000,"SLO 不可達")</f>
        <v>33.4172588128753</v>
      </c>
      <c r="G122" s="68" t="n">
        <f aca="false">IF(AND(ISNUMBER(G120)),G120*G19/1000000,"SLO 不可達")</f>
        <v>98.8538009519539</v>
      </c>
      <c r="H122" s="68" t="n">
        <f aca="false">IF(AND(ISNUMBER(H120)),H120*H19/1000000,"SLO 不可達")</f>
        <v>621.48157938889</v>
      </c>
      <c r="I122" s="68" t="n">
        <f aca="false">IF(AND(ISNUMBER(I120)),I120*I19/1000000,"SLO 不可達")</f>
        <v>36.2404866175213</v>
      </c>
      <c r="J122" s="68" t="n">
        <f aca="false">IF(AND(ISNUMBER(J120)),J120*J19/1000000,"SLO 不可達")</f>
        <v>111.33863993035</v>
      </c>
      <c r="K122" s="68" t="n">
        <f aca="false">IF(AND(ISNUMBER(K120)),K120*K19/1000000,"SLO 不可達")</f>
        <v>714.000588162868</v>
      </c>
      <c r="L122" s="68" t="n">
        <f aca="false">IF(AND(ISNUMBER(L120)),L120*L19/1000000,"SLO 不可達")</f>
        <v>26.9490908455707</v>
      </c>
      <c r="M122" s="68" t="n">
        <f aca="false">IF(AND(ISNUMBER(M120)),M120*M19/1000000,"SLO 不可達")</f>
        <v>78.50122859042</v>
      </c>
      <c r="N122" s="68" t="n">
        <f aca="false">IF(AND(ISNUMBER(N120)),N120*N19/1000000,"SLO 不可達")</f>
        <v>489.236984869465</v>
      </c>
      <c r="O122" s="68" t="n">
        <f aca="false">IF(AND(ISNUMBER(O120)),O120*O19/1000000,"SLO 不可達")</f>
        <v>21.9637971484962</v>
      </c>
      <c r="P122" s="68" t="n">
        <f aca="false">IF(AND(ISNUMBER(P120)),P120*P19/1000000,"SLO 不可達")</f>
        <v>66.1699214926233</v>
      </c>
      <c r="Q122" s="68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58" t="s">
        <v>1090</v>
      </c>
      <c r="B123" s="59" t="s">
        <v>93</v>
      </c>
      <c r="C123" s="98" t="n">
        <f aca="false">IF(AND(ISNUMBER(C120)),C120/(C18*8760),"SLO 不可達")</f>
        <v>0.00813235831640886</v>
      </c>
      <c r="D123" s="98" t="n">
        <f aca="false">IF(AND(ISNUMBER(D120)),D120/(D18*8760),"SLO 不可達")</f>
        <v>0.0231462920032773</v>
      </c>
      <c r="E123" s="98" t="n">
        <f aca="false">IF(AND(ISNUMBER(E120)),E120/(E18*8760),"SLO 不可達")</f>
        <v>0.142679390737942</v>
      </c>
      <c r="F123" s="98" t="n">
        <f aca="false">IF(AND(ISNUMBER(F120)),F120/(F18*8760),"SLO 不可達")</f>
        <v>0.00378530041866208</v>
      </c>
      <c r="G123" s="98" t="n">
        <f aca="false">IF(AND(ISNUMBER(G120)),G120/(G18*8760),"SLO 不可達")</f>
        <v>0.0111975472382432</v>
      </c>
      <c r="H123" s="98" t="n">
        <f aca="false">IF(AND(ISNUMBER(H120)),H120/(H18*8760),"SLO 不可達")</f>
        <v>0.0703975899347298</v>
      </c>
      <c r="I123" s="98" t="n">
        <f aca="false">IF(AND(ISNUMBER(I120)),I120/(I18*8760),"SLO 不可達")</f>
        <v>0.00332896549749013</v>
      </c>
      <c r="J123" s="98" t="n">
        <f aca="false">IF(AND(ISNUMBER(J120)),J120/(J18*8760),"SLO 不可達")</f>
        <v>0.0102273044724078</v>
      </c>
      <c r="K123" s="98" t="n">
        <f aca="false">IF(AND(ISNUMBER(K120)),K120/(K18*8760),"SLO 不可達")</f>
        <v>0.0655864074968763</v>
      </c>
      <c r="L123" s="98" t="n">
        <f aca="false">IF(AND(ISNUMBER(L120)),L120/(L18*8760),"SLO 不可達")</f>
        <v>0.00220433968028437</v>
      </c>
      <c r="M123" s="98" t="n">
        <f aca="false">IF(AND(ISNUMBER(M120)),M120/(M18*8760),"SLO 不可達")</f>
        <v>0.00642112099901794</v>
      </c>
      <c r="N123" s="98" t="n">
        <f aca="false">IF(AND(ISNUMBER(N120)),N120/(N18*8760),"SLO 不可達")</f>
        <v>0.0400178434586299</v>
      </c>
      <c r="O123" s="98" t="n">
        <f aca="false">IF(AND(ISNUMBER(O120)),O120/(O18*8760),"SLO 不可達")</f>
        <v>0.00143044852589726</v>
      </c>
      <c r="P123" s="98" t="n">
        <f aca="false">IF(AND(ISNUMBER(P120)),P120/(P18*8760),"SLO 不可達")</f>
        <v>0.00430948556016603</v>
      </c>
      <c r="Q123" s="98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3" t="s">
        <v>1091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8" t="s">
        <v>1092</v>
      </c>
      <c r="B125" s="59" t="s">
        <v>1010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8" t="s">
        <v>1093</v>
      </c>
      <c r="B126" s="59" t="s">
        <v>1010</v>
      </c>
      <c r="C126" s="65" t="n">
        <f aca="false">IF(AND(ISNUMBER(C65),ISNUMBER(C86)),C65+C74+C86+C87,"SLO 不可達")</f>
        <v>553684.463439442</v>
      </c>
      <c r="D126" s="65" t="n">
        <f aca="false">IF(AND(ISNUMBER(D65),ISNUMBER(D86)),D65+D74+D86+D87,"SLO 不可達")</f>
        <v>2132891.63252357</v>
      </c>
      <c r="E126" s="65" t="n">
        <f aca="false">IF(AND(ISNUMBER(E65),ISNUMBER(E86)),E65+E74+E86+E87,"SLO 不可達")</f>
        <v>35363462.6181959</v>
      </c>
      <c r="F126" s="65" t="n">
        <f aca="false">IF(AND(ISNUMBER(F65),ISNUMBER(F86)),F65+F74+F86+F87,"SLO 不可達")</f>
        <v>154770.265521203</v>
      </c>
      <c r="G126" s="65" t="n">
        <f aca="false">IF(AND(ISNUMBER(G65),ISNUMBER(G86)),G65+G74+G86+G87,"SLO 不可達")</f>
        <v>570158.075967781</v>
      </c>
      <c r="H126" s="65" t="n">
        <f aca="false">IF(AND(ISNUMBER(H65),ISNUMBER(H86)),H65+H74+H86+H87,"SLO 不可達")</f>
        <v>9470984.31652877</v>
      </c>
      <c r="I126" s="65" t="n">
        <f aca="false">IF(AND(ISNUMBER(I65),ISNUMBER(I86)),I65+I74+I86+I87,"SLO 不可達")</f>
        <v>103180.177014136</v>
      </c>
      <c r="J126" s="65" t="n">
        <f aca="false">IF(AND(ISNUMBER(J65),ISNUMBER(J86)),J65+J74+J86+J87,"SLO 不可達")</f>
        <v>380105.383978521</v>
      </c>
      <c r="K126" s="65" t="n">
        <f aca="false">IF(AND(ISNUMBER(K65),ISNUMBER(K86)),K65+K74+K86+K87,"SLO 不可達")</f>
        <v>6550587.3610381</v>
      </c>
      <c r="L126" s="65" t="n">
        <f aca="false">IF(AND(ISNUMBER(L65),ISNUMBER(L86)),L65+L74+L86+L87,"SLO 不可達")</f>
        <v>58445.864632259</v>
      </c>
      <c r="M126" s="65" t="n">
        <f aca="false">IF(AND(ISNUMBER(M65),ISNUMBER(M86)),M65+M74+M86+M87,"SLO 不可達")</f>
        <v>209542.386794135</v>
      </c>
      <c r="N126" s="65" t="n">
        <f aca="false">IF(AND(ISNUMBER(N65),ISNUMBER(N86)),N65+N74+N86+N87,"SLO 不可達")</f>
        <v>3404528.00266708</v>
      </c>
      <c r="O126" s="65" t="n">
        <f aca="false">IF(AND(ISNUMBER(O65),ISNUMBER(O86)),O65+O74+O86+O87,"SLO 不可達")</f>
        <v>21917.6838836303</v>
      </c>
      <c r="P126" s="65" t="n">
        <f aca="false">IF(AND(ISNUMBER(P65),ISNUMBER(P86)),P65+P74+P86+P87,"SLO 不可達")</f>
        <v>77990.4668776312</v>
      </c>
      <c r="Q126" s="65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58" t="s">
        <v>1094</v>
      </c>
      <c r="B127" s="59" t="s">
        <v>1010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8" t="s">
        <v>1095</v>
      </c>
      <c r="B128" s="59" t="s">
        <v>1010</v>
      </c>
      <c r="C128" s="65" t="n">
        <f aca="false">IF(AND(ISNUMBER(C105)),C105,"SLO 不可達")</f>
        <v>3049615.81801258</v>
      </c>
      <c r="D128" s="65" t="n">
        <f aca="false">IF(AND(ISNUMBER(D105)),D105,"SLO 不可達")</f>
        <v>6126652.06231326</v>
      </c>
      <c r="E128" s="65" t="n">
        <f aca="false">IF(AND(ISNUMBER(E105)),E105,"SLO 不可達")</f>
        <v>9442651.73498115</v>
      </c>
      <c r="F128" s="65" t="n">
        <f aca="false">IF(AND(ISNUMBER(F105)),F105,"SLO 不可達")</f>
        <v>820384.117063266</v>
      </c>
      <c r="G128" s="65" t="n">
        <f aca="false">IF(AND(ISNUMBER(G105)),G105,"SLO 不可達")</f>
        <v>1648115.37671739</v>
      </c>
      <c r="H128" s="65" t="n">
        <f aca="false">IF(AND(ISNUMBER(H105)),H105,"SLO 不可達")</f>
        <v>2540028.48827918</v>
      </c>
      <c r="I128" s="65" t="n">
        <f aca="false">IF(AND(ISNUMBER(I105)),I105,"SLO 不可達")</f>
        <v>567443.983911165</v>
      </c>
      <c r="J128" s="65" t="n">
        <f aca="false">IF(AND(ISNUMBER(J105)),J105,"SLO 不可達")</f>
        <v>1139786.0628829</v>
      </c>
      <c r="K128" s="65" t="n">
        <f aca="false">IF(AND(ISNUMBER(K105)),K105,"SLO 不可達")</f>
        <v>1756968.16704665</v>
      </c>
      <c r="L128" s="65" t="n">
        <f aca="false">IF(AND(ISNUMBER(L105)),L105,"SLO 不可達")</f>
        <v>295076.931280297</v>
      </c>
      <c r="M128" s="65" t="n">
        <f aca="false">IF(AND(ISNUMBER(M105)),M105,"SLO 不可達")</f>
        <v>592838.408093639</v>
      </c>
      <c r="N128" s="65" t="n">
        <f aca="false">IF(AND(ISNUMBER(N105)),N105,"SLO 不可達")</f>
        <v>913542.128737021</v>
      </c>
      <c r="O128" s="65" t="n">
        <f aca="false">IF(AND(ISNUMBER(O105)),O105,"SLO 不可達")</f>
        <v>107805.489254781</v>
      </c>
      <c r="P128" s="65" t="n">
        <f aca="false">IF(AND(ISNUMBER(P105)),P105,"SLO 不可達")</f>
        <v>216605.67220172</v>
      </c>
      <c r="Q128" s="65" t="n">
        <f aca="false">IF(AND(ISNUMBER(Q105)),Q105,"SLO 不可達")</f>
        <v>333749.222961523</v>
      </c>
    </row>
    <row r="129" customFormat="false" ht="15" hidden="false" customHeight="false" outlineLevel="0" collapsed="false">
      <c r="A129" s="58" t="s">
        <v>1096</v>
      </c>
      <c r="B129" s="59" t="s">
        <v>1010</v>
      </c>
      <c r="C129" s="65" t="n">
        <f aca="false">IF(AND(ISNUMBER(C121)),C121,"SLO 不可達")</f>
        <v>44759182.0808784</v>
      </c>
      <c r="D129" s="65" t="n">
        <f aca="false">IF(AND(ISNUMBER(D121)),D121,"SLO 不可達")</f>
        <v>127393439.63503</v>
      </c>
      <c r="E129" s="65" t="n">
        <f aca="false">IF(AND(ISNUMBER(E121)),E121,"SLO 不可達")</f>
        <v>785284241.14598</v>
      </c>
      <c r="F129" s="65" t="n">
        <f aca="false">IF(AND(ISNUMBER(F121)),F121,"SLO 不可達")</f>
        <v>14558461.185912</v>
      </c>
      <c r="G129" s="65" t="n">
        <f aca="false">IF(AND(ISNUMBER(G121)),G121,"SLO 不可達")</f>
        <v>43066345.8154263</v>
      </c>
      <c r="H129" s="65" t="n">
        <f aca="false">IF(AND(ISNUMBER(H121)),H121,"SLO 不可達")</f>
        <v>270752771.852322</v>
      </c>
      <c r="I129" s="65" t="n">
        <f aca="false">IF(AND(ISNUMBER(I121)),I121,"SLO 不可達")</f>
        <v>12426749.6342978</v>
      </c>
      <c r="J129" s="65" t="n">
        <f aca="false">IF(AND(ISNUMBER(J121)),J121,"SLO 不可達")</f>
        <v>38177671.7746601</v>
      </c>
      <c r="K129" s="65" t="n">
        <f aca="false">IF(AND(ISNUMBER(K121)),K121,"SLO 不可達")</f>
        <v>244828570.91526</v>
      </c>
      <c r="L129" s="65" t="n">
        <f aca="false">IF(AND(ISNUMBER(L121)),L121,"SLO 不可達")</f>
        <v>4929383.54212463</v>
      </c>
      <c r="M129" s="65" t="n">
        <f aca="false">IF(AND(ISNUMBER(M121)),M121,"SLO 不可達")</f>
        <v>14359024.8171129</v>
      </c>
      <c r="N129" s="65" t="n">
        <f aca="false">IF(AND(ISNUMBER(N121)),N121,"SLO 不可達")</f>
        <v>89488612.259088</v>
      </c>
      <c r="O129" s="65" t="n">
        <f aca="false">IF(AND(ISNUMBER(O121)),O121,"SLO 不可達")</f>
        <v>2135424.19733724</v>
      </c>
      <c r="P129" s="65" t="n">
        <f aca="false">IF(AND(ISNUMBER(P121)),P121,"SLO 不可達")</f>
        <v>6433352.60000468</v>
      </c>
      <c r="Q129" s="65" t="n">
        <f aca="false">IF(AND(ISNUMBER(Q121)),Q121,"SLO 不可達")</f>
        <v>40680383.4785872</v>
      </c>
    </row>
    <row r="130" customFormat="false" ht="15" hidden="false" customHeight="false" outlineLevel="0" collapsed="false">
      <c r="A130" s="73" t="s">
        <v>1097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8" t="s">
        <v>1098</v>
      </c>
      <c r="B131" s="59" t="s">
        <v>1010</v>
      </c>
      <c r="C131" s="68" t="n">
        <f aca="false">IF(COUNT(INDEX($C$106:$Q$106,1,3*(C$6-1)+1):INDEX($C$106:$Q$106,1,3*(C$6-1)+3))=3,SUMIF($C$6:$Q$6,C$6,$C$106:$Q$106),"SLO 不可達")</f>
        <v>136776694.694556</v>
      </c>
      <c r="D131" s="68" t="n">
        <f aca="false">IF(COUNT(INDEX($C$106:$Q$106,1,3*(D$6-1)+1):INDEX($C$106:$Q$106,1,3*(D$6-1)+3))=3,SUMIF($C$6:$Q$6,D$6,$C$106:$Q$106),"SLO 不可達")</f>
        <v>136776694.694556</v>
      </c>
      <c r="E131" s="68" t="n">
        <f aca="false">IF(COUNT(INDEX($C$106:$Q$106,1,3*(E$6-1)+1):INDEX($C$106:$Q$106,1,3*(E$6-1)+3))=3,SUMIF($C$6:$Q$6,E$6,$C$106:$Q$106),"SLO 不可達")</f>
        <v>136776694.694556</v>
      </c>
      <c r="F131" s="68" t="n">
        <f aca="false">IF(COUNT(INDEX($C$106:$Q$106,1,3*(F$6-1)+1):INDEX($C$106:$Q$106,1,3*(F$6-1)+3))=3,SUMIF($C$6:$Q$6,F$6,$C$106:$Q$106),"SLO 不可達")</f>
        <v>46911082.6933801</v>
      </c>
      <c r="G131" s="68" t="n">
        <f aca="false">IF(COUNT(INDEX($C$106:$Q$106,1,3*(G$6-1)+1):INDEX($C$106:$Q$106,1,3*(G$6-1)+3))=3,SUMIF($C$6:$Q$6,G$6,$C$106:$Q$106),"SLO 不可達")</f>
        <v>46911082.6933801</v>
      </c>
      <c r="H131" s="68" t="n">
        <f aca="false">IF(COUNT(INDEX($C$106:$Q$106,1,3*(H$6-1)+1):INDEX($C$106:$Q$106,1,3*(H$6-1)+3))=3,SUMIF($C$6:$Q$6,H$6,$C$106:$Q$106),"SLO 不可達")</f>
        <v>46911082.6933801</v>
      </c>
      <c r="I131" s="68" t="n">
        <f aca="false">IF(COUNT(INDEX($C$106:$Q$106,1,3*(I$6-1)+1):INDEX($C$106:$Q$106,1,3*(I$6-1)+3))=3,SUMIF($C$6:$Q$6,I$6,$C$106:$Q$106),"SLO 不可達")</f>
        <v>42204713.189174</v>
      </c>
      <c r="J131" s="68" t="n">
        <f aca="false">IF(COUNT(INDEX($C$106:$Q$106,1,3*(J$6-1)+1):INDEX($C$106:$Q$106,1,3*(J$6-1)+3))=3,SUMIF($C$6:$Q$6,J$6,$C$106:$Q$106),"SLO 不可達")</f>
        <v>42204713.189174</v>
      </c>
      <c r="K131" s="68" t="n">
        <f aca="false">IF(COUNT(INDEX($C$106:$Q$106,1,3*(K$6-1)+1):INDEX($C$106:$Q$106,1,3*(K$6-1)+3))=3,SUMIF($C$6:$Q$6,K$6,$C$106:$Q$106),"SLO 不可達")</f>
        <v>42204713.189174</v>
      </c>
      <c r="L131" s="68" t="n">
        <f aca="false">IF(COUNT(INDEX($C$106:$Q$106,1,3*(L$6-1)+1):INDEX($C$106:$Q$106,1,3*(L$6-1)+3))=3,SUMIF($C$6:$Q$6,L$6,$C$106:$Q$106),"SLO 不可達")</f>
        <v>15539574.3740465</v>
      </c>
      <c r="M131" s="68" t="n">
        <f aca="false">IF(COUNT(INDEX($C$106:$Q$106,1,3*(M$6-1)+1):INDEX($C$106:$Q$106,1,3*(M$6-1)+3))=3,SUMIF($C$6:$Q$6,M$6,$C$106:$Q$106),"SLO 不可達")</f>
        <v>15539574.3740465</v>
      </c>
      <c r="N131" s="68" t="n">
        <f aca="false">IF(COUNT(INDEX($C$106:$Q$106,1,3*(N$6-1)+1):INDEX($C$106:$Q$106,1,3*(N$6-1)+3))=3,SUMIF($C$6:$Q$6,N$6,$C$106:$Q$106),"SLO 不可達")</f>
        <v>15539574.3740465</v>
      </c>
      <c r="O131" s="68" t="n">
        <f aca="false">IF(COUNT(INDEX($C$106:$Q$106,1,3*(O$6-1)+1):INDEX($C$106:$Q$106,1,3*(O$6-1)+3))=3,SUMIF($C$6:$Q$6,O$6,$C$106:$Q$106),"SLO 不可達")</f>
        <v>7035594.32513273</v>
      </c>
      <c r="P131" s="68" t="n">
        <f aca="false">IF(COUNT(INDEX($C$106:$Q$106,1,3*(P$6-1)+1):INDEX($C$106:$Q$106,1,3*(P$6-1)+3))=3,SUMIF($C$6:$Q$6,P$6,$C$106:$Q$106),"SLO 不可達")</f>
        <v>7035594.32513273</v>
      </c>
      <c r="Q131" s="68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58" t="s">
        <v>1099</v>
      </c>
      <c r="B132" s="59" t="s">
        <v>1010</v>
      </c>
      <c r="C132" s="68" t="n">
        <f aca="false">IF(COUNT(INDEX($C$120:$Q$120,1,3*(C$6-1)+1):INDEX($C$120:$Q$120,1,3*(C$6-1)+3))=3,SUMIF($C$6:$Q$6,C$6,$C$120:$Q$120),"SLO 不可達")</f>
        <v>1094213557.55644</v>
      </c>
      <c r="D132" s="68" t="n">
        <f aca="false">IF(COUNT(INDEX($C$120:$Q$120,1,3*(D$6-1)+1):INDEX($C$120:$Q$120,1,3*(D$6-1)+3))=3,SUMIF($C$6:$Q$6,D$6,$C$120:$Q$120),"SLO 不可達")</f>
        <v>1094213557.55644</v>
      </c>
      <c r="E132" s="68" t="n">
        <f aca="false">IF(COUNT(INDEX($C$120:$Q$120,1,3*(E$6-1)+1):INDEX($C$120:$Q$120,1,3*(E$6-1)+3))=3,SUMIF($C$6:$Q$6,E$6,$C$120:$Q$120),"SLO 不可達")</f>
        <v>1094213557.55644</v>
      </c>
      <c r="F132" s="68" t="n">
        <f aca="false">IF(COUNT(INDEX($C$120:$Q$120,1,3*(F$6-1)+1):INDEX($C$120:$Q$120,1,3*(F$6-1)+3))=3,SUMIF($C$6:$Q$6,F$6,$C$120:$Q$120),"SLO 不可達")</f>
        <v>375288661.547041</v>
      </c>
      <c r="G132" s="68" t="n">
        <f aca="false">IF(COUNT(INDEX($C$120:$Q$120,1,3*(G$6-1)+1):INDEX($C$120:$Q$120,1,3*(G$6-1)+3))=3,SUMIF($C$6:$Q$6,G$6,$C$120:$Q$120),"SLO 不可達")</f>
        <v>375288661.547041</v>
      </c>
      <c r="H132" s="68" t="n">
        <f aca="false">IF(COUNT(INDEX($C$120:$Q$120,1,3*(H$6-1)+1):INDEX($C$120:$Q$120,1,3*(H$6-1)+3))=3,SUMIF($C$6:$Q$6,H$6,$C$120:$Q$120),"SLO 不可達")</f>
        <v>375288661.547041</v>
      </c>
      <c r="I132" s="68" t="n">
        <f aca="false">IF(COUNT(INDEX($C$120:$Q$120,1,3*(I$6-1)+1):INDEX($C$120:$Q$120,1,3*(I$6-1)+3))=3,SUMIF($C$6:$Q$6,I$6,$C$120:$Q$120),"SLO 不可達")</f>
        <v>337637705.513392</v>
      </c>
      <c r="J132" s="68" t="n">
        <f aca="false">IF(COUNT(INDEX($C$120:$Q$120,1,3*(J$6-1)+1):INDEX($C$120:$Q$120,1,3*(J$6-1)+3))=3,SUMIF($C$6:$Q$6,J$6,$C$120:$Q$120),"SLO 不可達")</f>
        <v>337637705.513392</v>
      </c>
      <c r="K132" s="68" t="n">
        <f aca="false">IF(COUNT(INDEX($C$120:$Q$120,1,3*(K$6-1)+1):INDEX($C$120:$Q$120,1,3*(K$6-1)+3))=3,SUMIF($C$6:$Q$6,K$6,$C$120:$Q$120),"SLO 不可達")</f>
        <v>337637705.513392</v>
      </c>
      <c r="L132" s="68" t="n">
        <f aca="false">IF(COUNT(INDEX($C$120:$Q$120,1,3*(L$6-1)+1):INDEX($C$120:$Q$120,1,3*(L$6-1)+3))=3,SUMIF($C$6:$Q$6,L$6,$C$120:$Q$120),"SLO 不可達")</f>
        <v>124316594.992372</v>
      </c>
      <c r="M132" s="68" t="n">
        <f aca="false">IF(COUNT(INDEX($C$120:$Q$120,1,3*(M$6-1)+1):INDEX($C$120:$Q$120,1,3*(M$6-1)+3))=3,SUMIF($C$6:$Q$6,M$6,$C$120:$Q$120),"SLO 不可達")</f>
        <v>124316594.992372</v>
      </c>
      <c r="N132" s="68" t="n">
        <f aca="false">IF(COUNT(INDEX($C$120:$Q$120,1,3*(N$6-1)+1):INDEX($C$120:$Q$120,1,3*(N$6-1)+3))=3,SUMIF($C$6:$Q$6,N$6,$C$120:$Q$120),"SLO 不可達")</f>
        <v>124316594.992372</v>
      </c>
      <c r="O132" s="68" t="n">
        <f aca="false">IF(COUNT(INDEX($C$120:$Q$120,1,3*(O$6-1)+1):INDEX($C$120:$Q$120,1,3*(O$6-1)+3))=3,SUMIF($C$6:$Q$6,O$6,$C$120:$Q$120),"SLO 不可達")</f>
        <v>56284754.6010618</v>
      </c>
      <c r="P132" s="68" t="n">
        <f aca="false">IF(COUNT(INDEX($C$120:$Q$120,1,3*(P$6-1)+1):INDEX($C$120:$Q$120,1,3*(P$6-1)+3))=3,SUMIF($C$6:$Q$6,P$6,$C$120:$Q$120),"SLO 不可達")</f>
        <v>56284754.6010618</v>
      </c>
      <c r="Q132" s="68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58" t="s">
        <v>1100</v>
      </c>
      <c r="B133" s="59" t="s">
        <v>865</v>
      </c>
      <c r="C133" s="68" t="n">
        <f aca="false">IF(COUNT(INDEX($C$122:$Q$122,1,3*(C$6-1)+1):INDEX($C$122:$Q$122,1,3*(C$6-1)+3))=3,SUMIF($C$6:$Q$6,C$6,$C$122:$Q$122),"SLO 不可達")</f>
        <v>1687.93005650369</v>
      </c>
      <c r="D133" s="68" t="n">
        <f aca="false">IF(COUNT(INDEX($C$122:$Q$122,1,3*(D$6-1)+1):INDEX($C$122:$Q$122,1,3*(D$6-1)+3))=3,SUMIF($C$6:$Q$6,D$6,$C$122:$Q$122),"SLO 不可達")</f>
        <v>1687.93005650369</v>
      </c>
      <c r="E133" s="68" t="n">
        <f aca="false">IF(COUNT(INDEX($C$122:$Q$122,1,3*(E$6-1)+1):INDEX($C$122:$Q$122,1,3*(E$6-1)+3))=3,SUMIF($C$6:$Q$6,E$6,$C$122:$Q$122),"SLO 不可達")</f>
        <v>1687.93005650369</v>
      </c>
      <c r="F133" s="68" t="n">
        <f aca="false">IF(COUNT(INDEX($C$122:$Q$122,1,3*(F$6-1)+1):INDEX($C$122:$Q$122,1,3*(F$6-1)+3))=3,SUMIF($C$6:$Q$6,F$6,$C$122:$Q$122),"SLO 不可達")</f>
        <v>753.75263915372</v>
      </c>
      <c r="G133" s="68" t="n">
        <f aca="false">IF(COUNT(INDEX($C$122:$Q$122,1,3*(G$6-1)+1):INDEX($C$122:$Q$122,1,3*(G$6-1)+3))=3,SUMIF($C$6:$Q$6,G$6,$C$122:$Q$122),"SLO 不可達")</f>
        <v>753.75263915372</v>
      </c>
      <c r="H133" s="68" t="n">
        <f aca="false">IF(COUNT(INDEX($C$122:$Q$122,1,3*(H$6-1)+1):INDEX($C$122:$Q$122,1,3*(H$6-1)+3))=3,SUMIF($C$6:$Q$6,H$6,$C$122:$Q$122),"SLO 不可達")</f>
        <v>753.75263915372</v>
      </c>
      <c r="I133" s="68" t="n">
        <f aca="false">IF(COUNT(INDEX($C$122:$Q$122,1,3*(I$6-1)+1):INDEX($C$122:$Q$122,1,3*(I$6-1)+3))=3,SUMIF($C$6:$Q$6,I$6,$C$122:$Q$122),"SLO 不可達")</f>
        <v>861.579714710739</v>
      </c>
      <c r="J133" s="68" t="n">
        <f aca="false">IF(COUNT(INDEX($C$122:$Q$122,1,3*(J$6-1)+1):INDEX($C$122:$Q$122,1,3*(J$6-1)+3))=3,SUMIF($C$6:$Q$6,J$6,$C$122:$Q$122),"SLO 不可達")</f>
        <v>861.579714710739</v>
      </c>
      <c r="K133" s="68" t="n">
        <f aca="false">IF(COUNT(INDEX($C$122:$Q$122,1,3*(K$6-1)+1):INDEX($C$122:$Q$122,1,3*(K$6-1)+3))=3,SUMIF($C$6:$Q$6,K$6,$C$122:$Q$122),"SLO 不可達")</f>
        <v>861.579714710739</v>
      </c>
      <c r="L133" s="68" t="n">
        <f aca="false">IF(COUNT(INDEX($C$122:$Q$122,1,3*(L$6-1)+1):INDEX($C$122:$Q$122,1,3*(L$6-1)+3))=3,SUMIF($C$6:$Q$6,L$6,$C$122:$Q$122),"SLO 不可達")</f>
        <v>594.687304305456</v>
      </c>
      <c r="M133" s="68" t="n">
        <f aca="false">IF(COUNT(INDEX($C$122:$Q$122,1,3*(M$6-1)+1):INDEX($C$122:$Q$122,1,3*(M$6-1)+3))=3,SUMIF($C$6:$Q$6,M$6,$C$122:$Q$122),"SLO 不可達")</f>
        <v>594.687304305456</v>
      </c>
      <c r="N133" s="68" t="n">
        <f aca="false">IF(COUNT(INDEX($C$122:$Q$122,1,3*(N$6-1)+1):INDEX($C$122:$Q$122,1,3*(N$6-1)+3))=3,SUMIF($C$6:$Q$6,N$6,$C$122:$Q$122),"SLO 不可達")</f>
        <v>594.687304305456</v>
      </c>
      <c r="O133" s="68" t="n">
        <f aca="false">IF(COUNT(INDEX($C$122:$Q$122,1,3*(O$6-1)+1):INDEX($C$122:$Q$122,1,3*(O$6-1)+3))=3,SUMIF($C$6:$Q$6,O$6,$C$122:$Q$122),"SLO 不可達")</f>
        <v>506.549737229307</v>
      </c>
      <c r="P133" s="68" t="n">
        <f aca="false">IF(COUNT(INDEX($C$122:$Q$122,1,3*(P$6-1)+1):INDEX($C$122:$Q$122,1,3*(P$6-1)+3))=3,SUMIF($C$6:$Q$6,P$6,$C$122:$Q$122),"SLO 不可達")</f>
        <v>506.549737229307</v>
      </c>
      <c r="Q133" s="68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58" t="s">
        <v>1101</v>
      </c>
      <c r="B134" s="59" t="s">
        <v>93</v>
      </c>
      <c r="C134" s="98" t="n">
        <f aca="false">IF(COUNT(INDEX($C$123:$Q$123,1,3*(C$6-1)+1):INDEX($C$123:$Q$123,1,3*(C$6-1)+3))=3,SUMIF($C$6:$Q$6,C$6,$C$123:$Q$123),"SLO 不可達")</f>
        <v>0.173958041057628</v>
      </c>
      <c r="D134" s="98" t="n">
        <f aca="false">IF(COUNT(INDEX($C$123:$Q$123,1,3*(D$6-1)+1):INDEX($C$123:$Q$123,1,3*(D$6-1)+3))=3,SUMIF($C$6:$Q$6,D$6,$C$123:$Q$123),"SLO 不可達")</f>
        <v>0.173958041057628</v>
      </c>
      <c r="E134" s="98" t="n">
        <f aca="false">IF(COUNT(INDEX($C$123:$Q$123,1,3*(E$6-1)+1):INDEX($C$123:$Q$123,1,3*(E$6-1)+3))=3,SUMIF($C$6:$Q$6,E$6,$C$123:$Q$123),"SLO 不可達")</f>
        <v>0.173958041057628</v>
      </c>
      <c r="F134" s="98" t="n">
        <f aca="false">IF(COUNT(INDEX($C$123:$Q$123,1,3*(F$6-1)+1):INDEX($C$123:$Q$123,1,3*(F$6-1)+3))=3,SUMIF($C$6:$Q$6,F$6,$C$123:$Q$123),"SLO 不可達")</f>
        <v>0.0853804375916351</v>
      </c>
      <c r="G134" s="98" t="n">
        <f aca="false">IF(COUNT(INDEX($C$123:$Q$123,1,3*(G$6-1)+1):INDEX($C$123:$Q$123,1,3*(G$6-1)+3))=3,SUMIF($C$6:$Q$6,G$6,$C$123:$Q$123),"SLO 不可達")</f>
        <v>0.0853804375916351</v>
      </c>
      <c r="H134" s="98" t="n">
        <f aca="false">IF(COUNT(INDEX($C$123:$Q$123,1,3*(H$6-1)+1):INDEX($C$123:$Q$123,1,3*(H$6-1)+3))=3,SUMIF($C$6:$Q$6,H$6,$C$123:$Q$123),"SLO 不可達")</f>
        <v>0.0853804375916351</v>
      </c>
      <c r="I134" s="98" t="n">
        <f aca="false">IF(COUNT(INDEX($C$123:$Q$123,1,3*(I$6-1)+1):INDEX($C$123:$Q$123,1,3*(I$6-1)+3))=3,SUMIF($C$6:$Q$6,I$6,$C$123:$Q$123),"SLO 不可達")</f>
        <v>0.0791426774667742</v>
      </c>
      <c r="J134" s="98" t="n">
        <f aca="false">IF(COUNT(INDEX($C$123:$Q$123,1,3*(J$6-1)+1):INDEX($C$123:$Q$123,1,3*(J$6-1)+3))=3,SUMIF($C$6:$Q$6,J$6,$C$123:$Q$123),"SLO 不可達")</f>
        <v>0.0791426774667742</v>
      </c>
      <c r="K134" s="98" t="n">
        <f aca="false">IF(COUNT(INDEX($C$123:$Q$123,1,3*(K$6-1)+1):INDEX($C$123:$Q$123,1,3*(K$6-1)+3))=3,SUMIF($C$6:$Q$6,K$6,$C$123:$Q$123),"SLO 不可達")</f>
        <v>0.0791426774667742</v>
      </c>
      <c r="L134" s="98" t="n">
        <f aca="false">IF(COUNT(INDEX($C$123:$Q$123,1,3*(L$6-1)+1):INDEX($C$123:$Q$123,1,3*(L$6-1)+3))=3,SUMIF($C$6:$Q$6,L$6,$C$123:$Q$123),"SLO 不可達")</f>
        <v>0.0486433041379322</v>
      </c>
      <c r="M134" s="98" t="n">
        <f aca="false">IF(COUNT(INDEX($C$123:$Q$123,1,3*(M$6-1)+1):INDEX($C$123:$Q$123,1,3*(M$6-1)+3))=3,SUMIF($C$6:$Q$6,M$6,$C$123:$Q$123),"SLO 不可達")</f>
        <v>0.0486433041379322</v>
      </c>
      <c r="N134" s="98" t="n">
        <f aca="false">IF(COUNT(INDEX($C$123:$Q$123,1,3*(N$6-1)+1):INDEX($C$123:$Q$123,1,3*(N$6-1)+3))=3,SUMIF($C$6:$Q$6,N$6,$C$123:$Q$123),"SLO 不可達")</f>
        <v>0.0486433041379322</v>
      </c>
      <c r="O134" s="98" t="n">
        <f aca="false">IF(COUNT(INDEX($C$123:$Q$123,1,3*(O$6-1)+1):INDEX($C$123:$Q$123,1,3*(O$6-1)+3))=3,SUMIF($C$6:$Q$6,O$6,$C$123:$Q$123),"SLO 不可達")</f>
        <v>0.0329903486184271</v>
      </c>
      <c r="P134" s="98" t="n">
        <f aca="false">IF(COUNT(INDEX($C$123:$Q$123,1,3*(P$6-1)+1):INDEX($C$123:$Q$123,1,3*(P$6-1)+3))=3,SUMIF($C$6:$Q$6,P$6,$C$123:$Q$123),"SLO 不可達")</f>
        <v>0.0329903486184271</v>
      </c>
      <c r="Q134" s="98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5" t="s">
        <v>1102</v>
      </c>
    </row>
    <row r="2" customFormat="false" ht="15" hidden="false" customHeight="false" outlineLevel="0" collapsed="false">
      <c r="A2" s="71" t="s">
        <v>1103</v>
      </c>
    </row>
    <row r="3" customFormat="false" ht="43.5" hidden="false" customHeight="true" outlineLevel="0" collapsed="false">
      <c r="A3" s="57" t="s">
        <v>817</v>
      </c>
      <c r="C3" s="118" t="s">
        <v>79</v>
      </c>
      <c r="D3" s="118"/>
      <c r="E3" s="118" t="s">
        <v>1104</v>
      </c>
      <c r="F3" s="118"/>
      <c r="G3" s="118" t="s">
        <v>1105</v>
      </c>
      <c r="H3" s="118"/>
      <c r="I3" s="119" t="s">
        <v>1106</v>
      </c>
      <c r="J3" s="119"/>
      <c r="K3" s="118" t="s">
        <v>1107</v>
      </c>
      <c r="L3" s="118"/>
      <c r="M3" s="118" t="s">
        <v>1108</v>
      </c>
      <c r="N3" s="118"/>
      <c r="O3" s="119" t="s">
        <v>1109</v>
      </c>
      <c r="P3" s="119"/>
      <c r="Q3" s="119" t="s">
        <v>1110</v>
      </c>
      <c r="R3" s="119"/>
      <c r="S3" s="119" t="s">
        <v>1111</v>
      </c>
      <c r="T3" s="119"/>
      <c r="U3" s="119" t="s">
        <v>1112</v>
      </c>
      <c r="V3" s="119"/>
      <c r="W3" s="119" t="s">
        <v>1113</v>
      </c>
      <c r="X3" s="119"/>
      <c r="Y3" s="118" t="s">
        <v>1114</v>
      </c>
      <c r="Z3" s="118"/>
      <c r="AA3" s="118" t="s">
        <v>1115</v>
      </c>
      <c r="AB3" s="118"/>
      <c r="AC3" s="118" t="s">
        <v>1116</v>
      </c>
      <c r="AD3" s="118"/>
      <c r="AE3" s="118" t="s">
        <v>1117</v>
      </c>
      <c r="AF3" s="118"/>
      <c r="AG3" s="119" t="s">
        <v>1118</v>
      </c>
      <c r="AH3" s="119"/>
    </row>
    <row r="4" customFormat="false" ht="15" hidden="false" customHeight="false" outlineLevel="0" collapsed="false">
      <c r="A4" s="57" t="s">
        <v>165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57" t="s">
        <v>710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7" t="s">
        <v>440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57" t="s">
        <v>711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57" t="s">
        <v>1119</v>
      </c>
      <c r="B8" s="59" t="s">
        <v>97</v>
      </c>
      <c r="C8" s="56" t="s">
        <v>608</v>
      </c>
      <c r="D8" s="56" t="s">
        <v>608</v>
      </c>
      <c r="E8" s="56" t="s">
        <v>608</v>
      </c>
      <c r="F8" s="56" t="s">
        <v>608</v>
      </c>
      <c r="G8" s="56" t="s">
        <v>608</v>
      </c>
      <c r="H8" s="56" t="s">
        <v>608</v>
      </c>
      <c r="I8" s="56" t="s">
        <v>608</v>
      </c>
      <c r="J8" s="56" t="s">
        <v>608</v>
      </c>
      <c r="K8" s="56" t="s">
        <v>608</v>
      </c>
      <c r="L8" s="56" t="s">
        <v>608</v>
      </c>
      <c r="M8" s="56" t="s">
        <v>608</v>
      </c>
      <c r="N8" s="56" t="s">
        <v>608</v>
      </c>
      <c r="O8" s="78" t="n">
        <v>0.3</v>
      </c>
      <c r="P8" s="78" t="n">
        <v>0.3</v>
      </c>
      <c r="Q8" s="78" t="n">
        <v>3</v>
      </c>
      <c r="R8" s="78" t="n">
        <v>3</v>
      </c>
      <c r="S8" s="56" t="s">
        <v>608</v>
      </c>
      <c r="T8" s="56" t="s">
        <v>608</v>
      </c>
      <c r="U8" s="56" t="s">
        <v>608</v>
      </c>
      <c r="V8" s="56" t="s">
        <v>608</v>
      </c>
      <c r="W8" s="56" t="s">
        <v>608</v>
      </c>
      <c r="X8" s="56" t="s">
        <v>608</v>
      </c>
      <c r="Y8" s="78" t="n">
        <v>0</v>
      </c>
      <c r="Z8" s="78" t="n">
        <v>0</v>
      </c>
      <c r="AA8" s="78" t="n">
        <v>3</v>
      </c>
      <c r="AB8" s="78" t="n">
        <v>3</v>
      </c>
      <c r="AC8" s="56" t="s">
        <v>608</v>
      </c>
      <c r="AD8" s="56" t="s">
        <v>608</v>
      </c>
      <c r="AE8" s="56" t="s">
        <v>608</v>
      </c>
      <c r="AF8" s="56" t="s">
        <v>608</v>
      </c>
      <c r="AG8" s="56" t="s">
        <v>608</v>
      </c>
      <c r="AH8" s="56" t="s">
        <v>608</v>
      </c>
    </row>
    <row r="9" customFormat="false" ht="15" hidden="false" customHeight="false" outlineLevel="0" collapsed="false">
      <c r="A9" s="73" t="s">
        <v>991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992</v>
      </c>
      <c r="B10" s="59" t="s">
        <v>464</v>
      </c>
      <c r="C10" s="92" t="n">
        <f aca="false">INDEX(Spec_Rack!$C$40:$G$40,C$6)</f>
        <v>17.5</v>
      </c>
      <c r="D10" s="92" t="n">
        <f aca="false">INDEX(Spec_Rack!$C$40:$G$40,D$6)</f>
        <v>17.5</v>
      </c>
      <c r="E10" s="92" t="n">
        <f aca="false">INDEX(Spec_Rack!$C$40:$G$40,E$6)</f>
        <v>17.5</v>
      </c>
      <c r="F10" s="92" t="n">
        <f aca="false">INDEX(Spec_Rack!$C$40:$G$40,F$6)</f>
        <v>17.5</v>
      </c>
      <c r="G10" s="92" t="n">
        <f aca="false">INDEX(Spec_Rack!$C$40:$G$40,G$6)</f>
        <v>17.5</v>
      </c>
      <c r="H10" s="92" t="n">
        <f aca="false">INDEX(Spec_Rack!$C$40:$G$40,H$6)</f>
        <v>17.5</v>
      </c>
      <c r="I10" s="139" t="n">
        <f aca="false">INDEX(Spec_Rack!$C$41:$G$41,I$6)</f>
        <v>35</v>
      </c>
      <c r="J10" s="139" t="n">
        <f aca="false">INDEX(Spec_Rack!$C$41:$G$41,J$6)</f>
        <v>35</v>
      </c>
      <c r="K10" s="92" t="n">
        <f aca="false">INDEX(Spec_Rack!$C$40:$G$40,K$6)</f>
        <v>17.5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17.5</v>
      </c>
      <c r="P10" s="92" t="n">
        <f aca="false">INDEX(Spec_Rack!$C$40:$G$40,P$6)</f>
        <v>17.5</v>
      </c>
      <c r="Q10" s="92" t="n">
        <f aca="false">INDEX(Spec_Rack!$C$40:$G$40,Q$6)</f>
        <v>17.5</v>
      </c>
      <c r="R10" s="92" t="n">
        <f aca="false">INDEX(Spec_Rack!$C$40:$G$40,R$6)</f>
        <v>17.5</v>
      </c>
      <c r="S10" s="92" t="n">
        <f aca="false">INDEX(Spec_Rack!$C$40:$G$40,S$6)</f>
        <v>17.5</v>
      </c>
      <c r="T10" s="92" t="n">
        <f aca="false">INDEX(Spec_Rack!$C$40:$G$40,T$6)</f>
        <v>17.5</v>
      </c>
      <c r="U10" s="92" t="n">
        <f aca="false">INDEX(Spec_Rack!$C$40:$G$40,U$6)</f>
        <v>17.5</v>
      </c>
      <c r="V10" s="92" t="n">
        <f aca="false">INDEX(Spec_Rack!$C$40:$G$40,V$6)</f>
        <v>17.5</v>
      </c>
      <c r="W10" s="92" t="n">
        <f aca="false">INDEX(Spec_Rack!$C$40:$G$40,W$6)</f>
        <v>17.5</v>
      </c>
      <c r="X10" s="92" t="n">
        <f aca="false">INDEX(Spec_Rack!$C$40:$G$40,X$6)</f>
        <v>17.5</v>
      </c>
      <c r="Y10" s="92" t="n">
        <f aca="false">INDEX(Spec_Rack!$C$40:$G$40,Y$6)</f>
        <v>17.5</v>
      </c>
      <c r="Z10" s="92" t="n">
        <f aca="false">INDEX(Spec_Rack!$C$40:$G$40,Z$6)</f>
        <v>17.5</v>
      </c>
      <c r="AA10" s="92" t="n">
        <f aca="false">INDEX(Spec_Rack!$C$40:$G$40,AA$6)</f>
        <v>17.5</v>
      </c>
      <c r="AB10" s="92" t="n">
        <f aca="false">INDEX(Spec_Rack!$C$40:$G$40,AB$6)</f>
        <v>17.5</v>
      </c>
      <c r="AC10" s="92" t="n">
        <f aca="false">INDEX(Spec_Rack!$C$40:$G$40,AC$6)</f>
        <v>17.5</v>
      </c>
      <c r="AD10" s="92" t="n">
        <f aca="false">INDEX(Spec_Rack!$C$40:$G$40,AD$6)</f>
        <v>17.5</v>
      </c>
      <c r="AE10" s="92" t="n">
        <f aca="false">INDEX(Spec_Rack!$C$40:$G$40,AE$6)</f>
        <v>17.5</v>
      </c>
      <c r="AF10" s="92" t="n">
        <f aca="false">INDEX(Spec_Rack!$C$40:$G$40,AF$6)</f>
        <v>17.5</v>
      </c>
      <c r="AG10" s="92" t="n">
        <f aca="false">INDEX(Spec_Rack!$C$40:$G$40,AG$6)</f>
        <v>17.5</v>
      </c>
      <c r="AH10" s="92" t="n">
        <f aca="false">INDEX(Spec_Rack!$C$40:$G$40,AH$6)</f>
        <v>17.5</v>
      </c>
    </row>
    <row r="11" customFormat="false" ht="15" hidden="false" customHeight="false" outlineLevel="0" collapsed="false">
      <c r="A11" s="58" t="s">
        <v>993</v>
      </c>
      <c r="B11" s="59" t="s">
        <v>97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  <c r="R11" s="95" t="n">
        <f aca="false">Tech_Registry!$E$25</f>
        <v>1</v>
      </c>
      <c r="S11" s="95" t="n">
        <f aca="false">Tech_Registry!$E$25</f>
        <v>1</v>
      </c>
      <c r="T11" s="95" t="n">
        <f aca="false">Tech_Registry!$E$25</f>
        <v>1</v>
      </c>
      <c r="U11" s="95" t="n">
        <f aca="false">Tech_Registry!$E$25</f>
        <v>1</v>
      </c>
      <c r="V11" s="95" t="n">
        <f aca="false">Tech_Registry!$E$25</f>
        <v>1</v>
      </c>
      <c r="W11" s="95" t="n">
        <f aca="false">Tech_Registry!$E$25</f>
        <v>1</v>
      </c>
      <c r="X11" s="95" t="n">
        <f aca="false">Tech_Registry!$E$25</f>
        <v>1</v>
      </c>
      <c r="Y11" s="95" t="n">
        <f aca="false">Tech_Registry!$E$25</f>
        <v>1</v>
      </c>
      <c r="Z11" s="95" t="n">
        <f aca="false">Tech_Registry!$E$25</f>
        <v>1</v>
      </c>
      <c r="AA11" s="95" t="n">
        <f aca="false">Tech_Registry!$E$25</f>
        <v>1</v>
      </c>
      <c r="AB11" s="95" t="n">
        <f aca="false">Tech_Registry!$E$25</f>
        <v>1</v>
      </c>
      <c r="AC11" s="95" t="n">
        <f aca="false">Tech_Registry!$E$25</f>
        <v>1</v>
      </c>
      <c r="AD11" s="95" t="n">
        <f aca="false">Tech_Registry!$E$25</f>
        <v>1</v>
      </c>
      <c r="AE11" s="95" t="n">
        <f aca="false">Tech_Registry!$E$25</f>
        <v>1</v>
      </c>
      <c r="AF11" s="95" t="n">
        <f aca="false">Tech_Registry!$E$25</f>
        <v>1</v>
      </c>
      <c r="AG11" s="95" t="n">
        <f aca="false">Tech_Registry!$E$25</f>
        <v>1</v>
      </c>
      <c r="AH11" s="95" t="n">
        <f aca="false">Tech_Registry!$E$25</f>
        <v>1</v>
      </c>
    </row>
    <row r="12" customFormat="false" ht="15" hidden="false" customHeight="false" outlineLevel="0" collapsed="false">
      <c r="A12" s="58" t="s">
        <v>994</v>
      </c>
      <c r="B12" s="59" t="s">
        <v>464</v>
      </c>
      <c r="C12" s="113" t="n">
        <f aca="false">C10*C11</f>
        <v>17.5</v>
      </c>
      <c r="D12" s="113" t="n">
        <f aca="false">D10*D11</f>
        <v>17.5</v>
      </c>
      <c r="E12" s="113" t="n">
        <f aca="false">E10*E11</f>
        <v>17.5</v>
      </c>
      <c r="F12" s="113" t="n">
        <f aca="false">F10*F11</f>
        <v>17.5</v>
      </c>
      <c r="G12" s="113" t="n">
        <f aca="false">G10*G11</f>
        <v>17.5</v>
      </c>
      <c r="H12" s="113" t="n">
        <f aca="false">H10*H11</f>
        <v>17.5</v>
      </c>
      <c r="I12" s="113" t="n">
        <f aca="false">I10*I11</f>
        <v>35</v>
      </c>
      <c r="J12" s="113" t="n">
        <f aca="false">J10*J11</f>
        <v>35</v>
      </c>
      <c r="K12" s="113" t="n">
        <f aca="false">K10*K11</f>
        <v>17.5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17.5</v>
      </c>
      <c r="P12" s="113" t="n">
        <f aca="false">P10*P11</f>
        <v>17.5</v>
      </c>
      <c r="Q12" s="113" t="n">
        <f aca="false">Q10*Q11</f>
        <v>17.5</v>
      </c>
      <c r="R12" s="113" t="n">
        <f aca="false">R10*R11</f>
        <v>17.5</v>
      </c>
      <c r="S12" s="113" t="n">
        <f aca="false">S10*S11</f>
        <v>17.5</v>
      </c>
      <c r="T12" s="113" t="n">
        <f aca="false">T10*T11</f>
        <v>17.5</v>
      </c>
      <c r="U12" s="113" t="n">
        <f aca="false">U10*U11</f>
        <v>17.5</v>
      </c>
      <c r="V12" s="113" t="n">
        <f aca="false">V10*V11</f>
        <v>17.5</v>
      </c>
      <c r="W12" s="113" t="n">
        <f aca="false">W10*W11</f>
        <v>17.5</v>
      </c>
      <c r="X12" s="113" t="n">
        <f aca="false">X10*X11</f>
        <v>17.5</v>
      </c>
      <c r="Y12" s="113" t="n">
        <f aca="false">Y10*Y11</f>
        <v>17.5</v>
      </c>
      <c r="Z12" s="113" t="n">
        <f aca="false">Z10*Z11</f>
        <v>17.5</v>
      </c>
      <c r="AA12" s="113" t="n">
        <f aca="false">AA10*AA11</f>
        <v>17.5</v>
      </c>
      <c r="AB12" s="113" t="n">
        <f aca="false">AB10*AB11</f>
        <v>17.5</v>
      </c>
      <c r="AC12" s="113" t="n">
        <f aca="false">AC10*AC11</f>
        <v>17.5</v>
      </c>
      <c r="AD12" s="113" t="n">
        <f aca="false">AD10*AD11</f>
        <v>17.5</v>
      </c>
      <c r="AE12" s="113" t="n">
        <f aca="false">AE10*AE11</f>
        <v>17.5</v>
      </c>
      <c r="AF12" s="113" t="n">
        <f aca="false">AF10*AF11</f>
        <v>17.5</v>
      </c>
      <c r="AG12" s="113" t="n">
        <f aca="false">AG10*AG11</f>
        <v>17.5</v>
      </c>
      <c r="AH12" s="113" t="n">
        <f aca="false">AH10*AH11</f>
        <v>17.5</v>
      </c>
    </row>
    <row r="13" customFormat="false" ht="15" hidden="false" customHeight="false" outlineLevel="0" collapsed="false">
      <c r="A13" s="58" t="s">
        <v>995</v>
      </c>
      <c r="B13" s="59" t="s">
        <v>93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59" t="s">
        <v>996</v>
      </c>
      <c r="B14" s="59" t="s">
        <v>97</v>
      </c>
      <c r="C14" s="95" t="n">
        <f aca="false">INDEX(Train_In!$C$21:$G$21,C$6)</f>
        <v>0.9</v>
      </c>
      <c r="D14" s="95" t="n">
        <f aca="false">INDEX(Train_In!$C$21:$G$21,D$6)</f>
        <v>0.9</v>
      </c>
      <c r="E14" s="95" t="n">
        <f aca="false">INDEX(Train_In!$C$21:$G$21,E$6)</f>
        <v>0.9</v>
      </c>
      <c r="F14" s="95" t="n">
        <f aca="false">INDEX(Train_In!$C$21:$G$21,F$6)</f>
        <v>0.9</v>
      </c>
      <c r="G14" s="95" t="n">
        <f aca="false">INDEX(Train_In!$C$21:$G$21,G$6)</f>
        <v>0.9</v>
      </c>
      <c r="H14" s="95" t="n">
        <f aca="false">INDEX(Train_In!$C$21:$G$21,H$6)</f>
        <v>0.9</v>
      </c>
      <c r="I14" s="95" t="n">
        <f aca="false">INDEX(Train_In!$C$21:$G$21,I$6)</f>
        <v>0.9</v>
      </c>
      <c r="J14" s="95" t="n">
        <f aca="false">INDEX(Train_In!$C$21:$G$21,J$6)</f>
        <v>0.9</v>
      </c>
      <c r="K14" s="95" t="n">
        <f aca="false">INDEX(Train_In!$C$21:$G$21,K$6)</f>
        <v>0.9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  <c r="R14" s="95" t="n">
        <f aca="false">INDEX(Train_In!$C$21:$G$21,R$6)</f>
        <v>0.9</v>
      </c>
      <c r="S14" s="95" t="n">
        <f aca="false">INDEX(Train_In!$C$21:$G$21,S$6)</f>
        <v>0.9</v>
      </c>
      <c r="T14" s="95" t="n">
        <f aca="false">INDEX(Train_In!$C$21:$G$21,T$6)</f>
        <v>0.9</v>
      </c>
      <c r="U14" s="95" t="n">
        <f aca="false">INDEX(Train_In!$C$21:$G$21,U$6)</f>
        <v>0.9</v>
      </c>
      <c r="V14" s="95" t="n">
        <f aca="false">INDEX(Train_In!$C$21:$G$21,V$6)</f>
        <v>0.9</v>
      </c>
      <c r="W14" s="95" t="n">
        <f aca="false">INDEX(Train_In!$C$21:$G$21,W$6)</f>
        <v>0.9</v>
      </c>
      <c r="X14" s="95" t="n">
        <f aca="false">INDEX(Train_In!$C$21:$G$21,X$6)</f>
        <v>0.9</v>
      </c>
      <c r="Y14" s="95" t="n">
        <f aca="false">INDEX(Train_In!$C$21:$G$21,Y$6)</f>
        <v>0.9</v>
      </c>
      <c r="Z14" s="95" t="n">
        <f aca="false">INDEX(Train_In!$C$21:$G$21,Z$6)</f>
        <v>0.9</v>
      </c>
      <c r="AA14" s="95" t="n">
        <f aca="false">INDEX(Train_In!$C$21:$G$21,AA$6)</f>
        <v>0.9</v>
      </c>
      <c r="AB14" s="95" t="n">
        <f aca="false">INDEX(Train_In!$C$21:$G$21,AB$6)</f>
        <v>0.9</v>
      </c>
      <c r="AC14" s="95" t="n">
        <f aca="false">INDEX(Train_In!$C$21:$G$21,AC$6)</f>
        <v>0.9</v>
      </c>
      <c r="AD14" s="95" t="n">
        <f aca="false">INDEX(Train_In!$C$21:$G$21,AD$6)</f>
        <v>0.9</v>
      </c>
      <c r="AE14" s="95" t="n">
        <f aca="false">INDEX(Train_In!$C$21:$G$21,AE$6)</f>
        <v>0.9</v>
      </c>
      <c r="AF14" s="95" t="n">
        <f aca="false">INDEX(Train_In!$C$21:$G$21,AF$6)</f>
        <v>0.9</v>
      </c>
      <c r="AG14" s="95" t="n">
        <f aca="false">INDEX(Train_In!$C$21:$G$21,AG$6)</f>
        <v>0.9</v>
      </c>
      <c r="AH14" s="95" t="n">
        <f aca="false">INDEX(Train_In!$C$21:$G$21,AH$6)</f>
        <v>0.9</v>
      </c>
    </row>
    <row r="15" customFormat="false" ht="15" hidden="false" customHeight="false" outlineLevel="0" collapsed="false">
      <c r="A15" s="58" t="s">
        <v>997</v>
      </c>
      <c r="B15" s="59" t="s">
        <v>97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  <c r="R15" s="95" t="n">
        <f aca="false">Tech_Registry!$E$26</f>
        <v>1</v>
      </c>
      <c r="S15" s="95" t="n">
        <f aca="false">Tech_Registry!$E$26</f>
        <v>1</v>
      </c>
      <c r="T15" s="95" t="n">
        <f aca="false">Tech_Registry!$E$26</f>
        <v>1</v>
      </c>
      <c r="U15" s="95" t="n">
        <f aca="false">Tech_Registry!$E$26</f>
        <v>1</v>
      </c>
      <c r="V15" s="95" t="n">
        <f aca="false">Tech_Registry!$E$26</f>
        <v>1</v>
      </c>
      <c r="W15" s="95" t="n">
        <f aca="false">Tech_Registry!$E$26</f>
        <v>1</v>
      </c>
      <c r="X15" s="95" t="n">
        <f aca="false">Tech_Registry!$E$26</f>
        <v>1</v>
      </c>
      <c r="Y15" s="95" t="n">
        <f aca="false">Tech_Registry!$E$26</f>
        <v>1</v>
      </c>
      <c r="Z15" s="95" t="n">
        <f aca="false">Tech_Registry!$E$26</f>
        <v>1</v>
      </c>
      <c r="AA15" s="95" t="n">
        <f aca="false">Tech_Registry!$E$26</f>
        <v>1</v>
      </c>
      <c r="AB15" s="95" t="n">
        <f aca="false">Tech_Registry!$E$26</f>
        <v>1</v>
      </c>
      <c r="AC15" s="95" t="n">
        <f aca="false">Tech_Registry!$E$26</f>
        <v>1</v>
      </c>
      <c r="AD15" s="95" t="n">
        <f aca="false">Tech_Registry!$E$26</f>
        <v>1</v>
      </c>
      <c r="AE15" s="95" t="n">
        <f aca="false">Tech_Registry!$E$26</f>
        <v>1</v>
      </c>
      <c r="AF15" s="95" t="n">
        <f aca="false">Tech_Registry!$E$26</f>
        <v>1</v>
      </c>
      <c r="AG15" s="95" t="n">
        <f aca="false">Tech_Registry!$E$26</f>
        <v>1</v>
      </c>
      <c r="AH15" s="95" t="n">
        <f aca="false">Tech_Registry!$E$26</f>
        <v>1</v>
      </c>
    </row>
    <row r="16" customFormat="false" ht="15" hidden="false" customHeight="false" outlineLevel="0" collapsed="false">
      <c r="A16" s="58" t="s">
        <v>998</v>
      </c>
      <c r="B16" s="59" t="s">
        <v>93</v>
      </c>
      <c r="C16" s="101" t="n">
        <f aca="false">C13*C14*C15</f>
        <v>0.225</v>
      </c>
      <c r="D16" s="101" t="n">
        <f aca="false">D13*D14*D15</f>
        <v>0.225</v>
      </c>
      <c r="E16" s="101" t="n">
        <f aca="false">E13*E14*E15</f>
        <v>0.135</v>
      </c>
      <c r="F16" s="101" t="n">
        <f aca="false">F13*F14*F15</f>
        <v>0.135</v>
      </c>
      <c r="G16" s="101" t="n">
        <f aca="false">G13*G14*G15</f>
        <v>0.36</v>
      </c>
      <c r="H16" s="101" t="n">
        <f aca="false">H13*H14*H15</f>
        <v>0.36</v>
      </c>
      <c r="I16" s="101" t="n">
        <f aca="false">I13*I14*I15</f>
        <v>0.225</v>
      </c>
      <c r="J16" s="101" t="n">
        <f aca="false">J13*J14*J15</f>
        <v>0.225</v>
      </c>
      <c r="K16" s="101" t="n">
        <f aca="false">K13*K14*K15</f>
        <v>0.225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  <c r="R16" s="101" t="n">
        <f aca="false">R13*R14*R15</f>
        <v>0.225</v>
      </c>
      <c r="S16" s="101" t="n">
        <f aca="false">S13*S14*S15</f>
        <v>0.225</v>
      </c>
      <c r="T16" s="101" t="n">
        <f aca="false">T13*T14*T15</f>
        <v>0.225</v>
      </c>
      <c r="U16" s="101" t="n">
        <f aca="false">U13*U14*U15</f>
        <v>0.225</v>
      </c>
      <c r="V16" s="101" t="n">
        <f aca="false">V13*V14*V15</f>
        <v>0.225</v>
      </c>
      <c r="W16" s="101" t="n">
        <f aca="false">W13*W14*W15</f>
        <v>0.225</v>
      </c>
      <c r="X16" s="101" t="n">
        <f aca="false">X13*X14*X15</f>
        <v>0.225</v>
      </c>
      <c r="Y16" s="101" t="n">
        <f aca="false">Y13*Y14*Y15</f>
        <v>0.225</v>
      </c>
      <c r="Z16" s="101" t="n">
        <f aca="false">Z13*Z14*Z15</f>
        <v>0.225</v>
      </c>
      <c r="AA16" s="101" t="n">
        <f aca="false">AA13*AA14*AA15</f>
        <v>0.225</v>
      </c>
      <c r="AB16" s="101" t="n">
        <f aca="false">AB13*AB14*AB15</f>
        <v>0.225</v>
      </c>
      <c r="AC16" s="101" t="n">
        <f aca="false">AC13*AC14*AC15</f>
        <v>0.225</v>
      </c>
      <c r="AD16" s="101" t="n">
        <f aca="false">AD13*AD14*AD15</f>
        <v>0.225</v>
      </c>
      <c r="AE16" s="101" t="n">
        <f aca="false">AE13*AE14*AE15</f>
        <v>0.225</v>
      </c>
      <c r="AF16" s="101" t="n">
        <f aca="false">AF13*AF14*AF15</f>
        <v>0.225</v>
      </c>
      <c r="AG16" s="101" t="n">
        <f aca="false">AG13*AG14*AG15</f>
        <v>0.225</v>
      </c>
      <c r="AH16" s="101" t="n">
        <f aca="false">AH13*AH14*AH15</f>
        <v>0.225</v>
      </c>
    </row>
    <row r="17" customFormat="false" ht="15" hidden="false" customHeight="false" outlineLevel="0" collapsed="false">
      <c r="A17" s="59" t="s">
        <v>999</v>
      </c>
      <c r="B17" s="59" t="s">
        <v>93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8" t="s">
        <v>1000</v>
      </c>
      <c r="B18" s="58" t="s">
        <v>723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1001</v>
      </c>
      <c r="B19" s="59" t="s">
        <v>840</v>
      </c>
      <c r="C19" s="93" t="n">
        <f aca="false">INDEX(DC_Cost!$C$58:$Q$58,3*(C$6-1)+2)</f>
        <v>4.78365180724219</v>
      </c>
      <c r="D19" s="93" t="n">
        <f aca="false">INDEX(DC_Cost!$C$58:$Q$58,3*(D$6-1)+2)</f>
        <v>4.78365180724219</v>
      </c>
      <c r="E19" s="93" t="n">
        <f aca="false">INDEX(DC_Cost!$C$58:$Q$58,3*(E$6-1)+2)</f>
        <v>4.78365180724219</v>
      </c>
      <c r="F19" s="93" t="n">
        <f aca="false">INDEX(DC_Cost!$C$58:$Q$58,3*(F$6-1)+2)</f>
        <v>4.78365180724219</v>
      </c>
      <c r="G19" s="93" t="n">
        <f aca="false">INDEX(DC_Cost!$C$58:$Q$58,3*(G$6-1)+2)</f>
        <v>4.78365180724219</v>
      </c>
      <c r="H19" s="93" t="n">
        <f aca="false">INDEX(DC_Cost!$C$58:$Q$58,3*(H$6-1)+2)</f>
        <v>4.78365180724219</v>
      </c>
      <c r="I19" s="93" t="n">
        <f aca="false">INDEX(DC_Cost!$C$58:$Q$58,3*(I$6-1)+2)</f>
        <v>4.78365180724219</v>
      </c>
      <c r="J19" s="93" t="n">
        <f aca="false">INDEX(DC_Cost!$C$58:$Q$58,3*(J$6-1)+2)</f>
        <v>4.78365180724219</v>
      </c>
      <c r="K19" s="93" t="n">
        <f aca="false">INDEX(DC_Cost!$C$58:$Q$58,3*(K$6-1)+2)</f>
        <v>4.78365180724219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4.78365180724219</v>
      </c>
      <c r="P19" s="93" t="n">
        <f aca="false">INDEX(DC_Cost!$C$58:$Q$58,3*(P$6-1)+2)</f>
        <v>4.78365180724219</v>
      </c>
      <c r="Q19" s="93" t="n">
        <f aca="false">INDEX(DC_Cost!$C$58:$Q$58,3*(Q$6-1)+2)</f>
        <v>4.78365180724219</v>
      </c>
      <c r="R19" s="93" t="n">
        <f aca="false">INDEX(DC_Cost!$C$58:$Q$58,3*(R$6-1)+2)</f>
        <v>4.78365180724219</v>
      </c>
      <c r="S19" s="93" t="n">
        <f aca="false">INDEX(DC_Cost!$C$58:$Q$58,3*(S$6-1)+2)</f>
        <v>4.78365180724219</v>
      </c>
      <c r="T19" s="93" t="n">
        <f aca="false">INDEX(DC_Cost!$C$58:$Q$58,3*(T$6-1)+2)</f>
        <v>4.78365180724219</v>
      </c>
      <c r="U19" s="93" t="n">
        <f aca="false">INDEX(DC_Cost!$C$58:$Q$58,3*(U$6-1)+2)</f>
        <v>4.78365180724219</v>
      </c>
      <c r="V19" s="93" t="n">
        <f aca="false">INDEX(DC_Cost!$C$58:$Q$58,3*(V$6-1)+2)</f>
        <v>4.78365180724219</v>
      </c>
      <c r="W19" s="93" t="n">
        <f aca="false">INDEX(DC_Cost!$C$58:$Q$58,3*(W$6-1)+2)</f>
        <v>4.78365180724219</v>
      </c>
      <c r="X19" s="93" t="n">
        <f aca="false">INDEX(DC_Cost!$C$58:$Q$58,3*(X$6-1)+2)</f>
        <v>4.78365180724219</v>
      </c>
      <c r="Y19" s="93" t="n">
        <f aca="false">INDEX(DC_Cost!$C$58:$Q$58,3*(Y$6-1)+2)</f>
        <v>4.78365180724219</v>
      </c>
      <c r="Z19" s="93" t="n">
        <f aca="false">INDEX(DC_Cost!$C$58:$Q$58,3*(Z$6-1)+2)</f>
        <v>4.78365180724219</v>
      </c>
      <c r="AA19" s="93" t="n">
        <f aca="false">INDEX(DC_Cost!$C$58:$Q$58,3*(AA$6-1)+2)</f>
        <v>4.78365180724219</v>
      </c>
      <c r="AB19" s="93" t="n">
        <f aca="false">INDEX(DC_Cost!$C$58:$Q$58,3*(AB$6-1)+2)</f>
        <v>4.78365180724219</v>
      </c>
      <c r="AC19" s="93" t="n">
        <f aca="false">INDEX(DC_Cost!$C$58:$Q$58,3*(AC$6-1)+2)</f>
        <v>4.78365180724219</v>
      </c>
      <c r="AD19" s="93" t="n">
        <f aca="false">INDEX(DC_Cost!$C$58:$Q$58,3*(AD$6-1)+2)</f>
        <v>4.78365180724219</v>
      </c>
      <c r="AE19" s="93" t="n">
        <f aca="false">INDEX(DC_Cost!$C$58:$Q$58,3*(AE$6-1)+2)</f>
        <v>4.78365180724219</v>
      </c>
      <c r="AF19" s="93" t="n">
        <f aca="false">INDEX(DC_Cost!$C$58:$Q$58,3*(AF$6-1)+2)</f>
        <v>4.78365180724219</v>
      </c>
      <c r="AG19" s="93" t="n">
        <f aca="false">INDEX(DC_Cost!$C$58:$Q$58,3*(AG$6-1)+2)</f>
        <v>4.78365180724219</v>
      </c>
      <c r="AH19" s="93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1002</v>
      </c>
      <c r="B20" s="59" t="s">
        <v>840</v>
      </c>
      <c r="C20" s="93" t="n">
        <f aca="false">INDEX(DC_Cost!$C$57:$Q$57,3*(C$6-1)+2)</f>
        <v>3.51855992240582</v>
      </c>
      <c r="D20" s="93" t="n">
        <f aca="false">INDEX(DC_Cost!$C$57:$Q$57,3*(D$6-1)+2)</f>
        <v>3.51855992240582</v>
      </c>
      <c r="E20" s="93" t="n">
        <f aca="false">INDEX(DC_Cost!$C$57:$Q$57,3*(E$6-1)+2)</f>
        <v>3.51855992240582</v>
      </c>
      <c r="F20" s="93" t="n">
        <f aca="false">INDEX(DC_Cost!$C$57:$Q$57,3*(F$6-1)+2)</f>
        <v>3.51855992240582</v>
      </c>
      <c r="G20" s="93" t="n">
        <f aca="false">INDEX(DC_Cost!$C$57:$Q$57,3*(G$6-1)+2)</f>
        <v>3.51855992240582</v>
      </c>
      <c r="H20" s="93" t="n">
        <f aca="false">INDEX(DC_Cost!$C$57:$Q$57,3*(H$6-1)+2)</f>
        <v>3.51855992240582</v>
      </c>
      <c r="I20" s="93" t="n">
        <f aca="false">INDEX(DC_Cost!$C$57:$Q$57,3*(I$6-1)+2)</f>
        <v>3.51855992240582</v>
      </c>
      <c r="J20" s="93" t="n">
        <f aca="false">INDEX(DC_Cost!$C$57:$Q$57,3*(J$6-1)+2)</f>
        <v>3.51855992240582</v>
      </c>
      <c r="K20" s="93" t="n">
        <f aca="false">INDEX(DC_Cost!$C$57:$Q$57,3*(K$6-1)+2)</f>
        <v>3.51855992240582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3.51855992240582</v>
      </c>
      <c r="P20" s="93" t="n">
        <f aca="false">INDEX(DC_Cost!$C$57:$Q$57,3*(P$6-1)+2)</f>
        <v>3.51855992240582</v>
      </c>
      <c r="Q20" s="93" t="n">
        <f aca="false">INDEX(DC_Cost!$C$57:$Q$57,3*(Q$6-1)+2)</f>
        <v>3.51855992240582</v>
      </c>
      <c r="R20" s="93" t="n">
        <f aca="false">INDEX(DC_Cost!$C$57:$Q$57,3*(R$6-1)+2)</f>
        <v>3.51855992240582</v>
      </c>
      <c r="S20" s="93" t="n">
        <f aca="false">INDEX(DC_Cost!$C$57:$Q$57,3*(S$6-1)+2)</f>
        <v>3.51855992240582</v>
      </c>
      <c r="T20" s="93" t="n">
        <f aca="false">INDEX(DC_Cost!$C$57:$Q$57,3*(T$6-1)+2)</f>
        <v>3.51855992240582</v>
      </c>
      <c r="U20" s="93" t="n">
        <f aca="false">INDEX(DC_Cost!$C$57:$Q$57,3*(U$6-1)+2)</f>
        <v>3.51855992240582</v>
      </c>
      <c r="V20" s="93" t="n">
        <f aca="false">INDEX(DC_Cost!$C$57:$Q$57,3*(V$6-1)+2)</f>
        <v>3.51855992240582</v>
      </c>
      <c r="W20" s="93" t="n">
        <f aca="false">INDEX(DC_Cost!$C$57:$Q$57,3*(W$6-1)+2)</f>
        <v>3.51855992240582</v>
      </c>
      <c r="X20" s="93" t="n">
        <f aca="false">INDEX(DC_Cost!$C$57:$Q$57,3*(X$6-1)+2)</f>
        <v>3.51855992240582</v>
      </c>
      <c r="Y20" s="93" t="n">
        <f aca="false">INDEX(DC_Cost!$C$57:$Q$57,3*(Y$6-1)+2)</f>
        <v>3.51855992240582</v>
      </c>
      <c r="Z20" s="93" t="n">
        <f aca="false">INDEX(DC_Cost!$C$57:$Q$57,3*(Z$6-1)+2)</f>
        <v>3.51855992240582</v>
      </c>
      <c r="AA20" s="93" t="n">
        <f aca="false">INDEX(DC_Cost!$C$57:$Q$57,3*(AA$6-1)+2)</f>
        <v>3.51855992240582</v>
      </c>
      <c r="AB20" s="93" t="n">
        <f aca="false">INDEX(DC_Cost!$C$57:$Q$57,3*(AB$6-1)+2)</f>
        <v>3.51855992240582</v>
      </c>
      <c r="AC20" s="93" t="n">
        <f aca="false">INDEX(DC_Cost!$C$57:$Q$57,3*(AC$6-1)+2)</f>
        <v>3.51855992240582</v>
      </c>
      <c r="AD20" s="93" t="n">
        <f aca="false">INDEX(DC_Cost!$C$57:$Q$57,3*(AD$6-1)+2)</f>
        <v>3.51855992240582</v>
      </c>
      <c r="AE20" s="93" t="n">
        <f aca="false">INDEX(DC_Cost!$C$57:$Q$57,3*(AE$6-1)+2)</f>
        <v>3.51855992240582</v>
      </c>
      <c r="AF20" s="93" t="n">
        <f aca="false">INDEX(DC_Cost!$C$57:$Q$57,3*(AF$6-1)+2)</f>
        <v>3.51855992240582</v>
      </c>
      <c r="AG20" s="93" t="n">
        <f aca="false">INDEX(DC_Cost!$C$57:$Q$57,3*(AG$6-1)+2)</f>
        <v>3.51855992240582</v>
      </c>
      <c r="AH20" s="93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732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8" t="s">
        <v>261</v>
      </c>
      <c r="B22" s="59" t="s">
        <v>258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8" t="s">
        <v>475</v>
      </c>
      <c r="B23" s="59" t="s">
        <v>301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8" t="s">
        <v>276</v>
      </c>
      <c r="B24" s="59" t="s">
        <v>93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8" t="s">
        <v>735</v>
      </c>
      <c r="B25" s="59" t="s">
        <v>279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8" t="s">
        <v>281</v>
      </c>
      <c r="B26" s="59" t="s">
        <v>97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8" t="s">
        <v>283</v>
      </c>
      <c r="B27" s="59" t="s">
        <v>279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59" t="s">
        <v>713</v>
      </c>
      <c r="B28" s="59" t="s">
        <v>97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  <c r="R28" s="95" t="n">
        <f aca="false">Tech_Registry!$E$22</f>
        <v>1</v>
      </c>
      <c r="S28" s="95" t="n">
        <f aca="false">Tech_Registry!$E$22</f>
        <v>1</v>
      </c>
      <c r="T28" s="95" t="n">
        <f aca="false">Tech_Registry!$E$22</f>
        <v>1</v>
      </c>
      <c r="U28" s="95" t="n">
        <f aca="false">Tech_Registry!$E$22</f>
        <v>1</v>
      </c>
      <c r="V28" s="95" t="n">
        <f aca="false">Tech_Registry!$E$22</f>
        <v>1</v>
      </c>
      <c r="W28" s="95" t="n">
        <f aca="false">Tech_Registry!$E$22</f>
        <v>1</v>
      </c>
      <c r="X28" s="95" t="n">
        <f aca="false">Tech_Registry!$E$22</f>
        <v>1</v>
      </c>
      <c r="Y28" s="95" t="n">
        <f aca="false">Tech_Registry!$E$22</f>
        <v>1</v>
      </c>
      <c r="Z28" s="95" t="n">
        <f aca="false">Tech_Registry!$E$22</f>
        <v>1</v>
      </c>
      <c r="AA28" s="95" t="n">
        <f aca="false">Tech_Registry!$E$22</f>
        <v>1</v>
      </c>
      <c r="AB28" s="95" t="n">
        <f aca="false">Tech_Registry!$E$22</f>
        <v>1</v>
      </c>
      <c r="AC28" s="95" t="n">
        <f aca="false">Tech_Registry!$E$22</f>
        <v>1</v>
      </c>
      <c r="AD28" s="95" t="n">
        <f aca="false">Tech_Registry!$E$22</f>
        <v>1</v>
      </c>
      <c r="AE28" s="95" t="n">
        <f aca="false">Tech_Registry!$E$22</f>
        <v>1</v>
      </c>
      <c r="AF28" s="95" t="n">
        <f aca="false">Tech_Registry!$E$22</f>
        <v>1</v>
      </c>
      <c r="AG28" s="95" t="n">
        <f aca="false">Tech_Registry!$E$22</f>
        <v>1</v>
      </c>
      <c r="AH28" s="95" t="n">
        <f aca="false">Tech_Registry!$E$22</f>
        <v>1</v>
      </c>
    </row>
    <row r="29" customFormat="false" ht="15" hidden="false" customHeight="false" outlineLevel="0" collapsed="false">
      <c r="A29" s="73" t="s">
        <v>1003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8" t="s">
        <v>1004</v>
      </c>
      <c r="B30" s="59" t="s">
        <v>97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  <c r="R30" s="95" t="n">
        <f aca="false">Tech_Registry!$E$27</f>
        <v>1</v>
      </c>
      <c r="S30" s="95" t="n">
        <f aca="false">Tech_Registry!$E$27</f>
        <v>1</v>
      </c>
      <c r="T30" s="95" t="n">
        <f aca="false">Tech_Registry!$E$27</f>
        <v>1</v>
      </c>
      <c r="U30" s="95" t="n">
        <f aca="false">Tech_Registry!$E$27</f>
        <v>1</v>
      </c>
      <c r="V30" s="95" t="n">
        <f aca="false">Tech_Registry!$E$27</f>
        <v>1</v>
      </c>
      <c r="W30" s="95" t="n">
        <f aca="false">Tech_Registry!$E$27</f>
        <v>1</v>
      </c>
      <c r="X30" s="95" t="n">
        <f aca="false">Tech_Registry!$E$27</f>
        <v>1</v>
      </c>
      <c r="Y30" s="95" t="n">
        <f aca="false">Tech_Registry!$E$27</f>
        <v>1</v>
      </c>
      <c r="Z30" s="95" t="n">
        <f aca="false">Tech_Registry!$E$27</f>
        <v>1</v>
      </c>
      <c r="AA30" s="95" t="n">
        <f aca="false">Tech_Registry!$E$27</f>
        <v>1</v>
      </c>
      <c r="AB30" s="95" t="n">
        <f aca="false">Tech_Registry!$E$27</f>
        <v>1</v>
      </c>
      <c r="AC30" s="95" t="n">
        <f aca="false">Tech_Registry!$E$27</f>
        <v>1</v>
      </c>
      <c r="AD30" s="95" t="n">
        <f aca="false">Tech_Registry!$E$27</f>
        <v>1</v>
      </c>
      <c r="AE30" s="95" t="n">
        <f aca="false">Tech_Registry!$E$27</f>
        <v>1</v>
      </c>
      <c r="AF30" s="95" t="n">
        <f aca="false">Tech_Registry!$E$27</f>
        <v>1</v>
      </c>
      <c r="AG30" s="95" t="n">
        <f aca="false">Tech_Registry!$E$27</f>
        <v>1</v>
      </c>
      <c r="AH30" s="95" t="n">
        <f aca="false">Tech_Registry!$E$27</f>
        <v>1</v>
      </c>
    </row>
    <row r="31" customFormat="false" ht="15" hidden="false" customHeight="false" outlineLevel="0" collapsed="false">
      <c r="A31" s="58" t="s">
        <v>941</v>
      </c>
      <c r="B31" s="59" t="s">
        <v>942</v>
      </c>
      <c r="C31" s="96" t="n">
        <f aca="false">INDEX(Train_In!$C$25:$E$25,C$7)*C30</f>
        <v>33</v>
      </c>
      <c r="D31" s="96" t="n">
        <f aca="false">INDEX(Train_In!$C$25:$E$25,D$7)*D30</f>
        <v>60</v>
      </c>
      <c r="E31" s="96" t="n">
        <f aca="false">INDEX(Train_In!$C$25:$E$25,E$7)*E30</f>
        <v>33</v>
      </c>
      <c r="F31" s="96" t="n">
        <f aca="false">INDEX(Train_In!$C$25:$E$25,F$7)*F30</f>
        <v>60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33</v>
      </c>
      <c r="J31" s="96" t="n">
        <f aca="false">INDEX(Train_In!$C$25:$E$25,J$7)*J30</f>
        <v>60</v>
      </c>
      <c r="K31" s="96" t="n">
        <f aca="false">INDEX(Train_In!$C$25:$E$25,K$7)*K30</f>
        <v>16.5</v>
      </c>
      <c r="L31" s="96" t="n">
        <f aca="false">INDEX(Train_In!$C$25:$E$25,L$7)*L30</f>
        <v>30</v>
      </c>
      <c r="M31" s="96" t="n">
        <f aca="false">INDEX(Train_In!$C$25:$E$25,M$7)*M30</f>
        <v>55.11</v>
      </c>
      <c r="N31" s="96" t="n">
        <f aca="false">INDEX(Train_In!$C$25:$E$25,N$7)*N30</f>
        <v>100.2</v>
      </c>
      <c r="O31" s="96" t="n">
        <f aca="false">INDEX(Train_In!$C$25:$E$25,O$7)*O30</f>
        <v>33</v>
      </c>
      <c r="P31" s="96" t="n">
        <f aca="false">INDEX(Train_In!$C$25:$E$25,P$7)*P30</f>
        <v>60</v>
      </c>
      <c r="Q31" s="96" t="n">
        <f aca="false">INDEX(Train_In!$C$25:$E$25,Q$7)*Q30</f>
        <v>33</v>
      </c>
      <c r="R31" s="96" t="n">
        <f aca="false">INDEX(Train_In!$C$25:$E$25,R$7)*R30</f>
        <v>60</v>
      </c>
      <c r="S31" s="96" t="n">
        <f aca="false">INDEX(Train_In!$C$25:$E$25,S$7)*S30</f>
        <v>33</v>
      </c>
      <c r="T31" s="96" t="n">
        <f aca="false">INDEX(Train_In!$C$25:$E$25,T$7)*T30</f>
        <v>60</v>
      </c>
      <c r="U31" s="96" t="n">
        <f aca="false">INDEX(Train_In!$C$25:$E$25,U$7)*U30</f>
        <v>33</v>
      </c>
      <c r="V31" s="96" t="n">
        <f aca="false">INDEX(Train_In!$C$25:$E$25,V$7)*V30</f>
        <v>60</v>
      </c>
      <c r="W31" s="96" t="n">
        <f aca="false">INDEX(Train_In!$C$25:$E$25,W$7)*W30</f>
        <v>33</v>
      </c>
      <c r="X31" s="96" t="n">
        <f aca="false">INDEX(Train_In!$C$25:$E$25,X$7)*X30</f>
        <v>60</v>
      </c>
      <c r="Y31" s="96" t="n">
        <f aca="false">INDEX(Train_In!$C$25:$E$25,Y$7)*Y30</f>
        <v>33</v>
      </c>
      <c r="Z31" s="96" t="n">
        <f aca="false">INDEX(Train_In!$C$25:$E$25,Z$7)*Z30</f>
        <v>60</v>
      </c>
      <c r="AA31" s="96" t="n">
        <f aca="false">INDEX(Train_In!$C$25:$E$25,AA$7)*AA30</f>
        <v>33</v>
      </c>
      <c r="AB31" s="96" t="n">
        <f aca="false">INDEX(Train_In!$C$25:$E$25,AB$7)*AB30</f>
        <v>60</v>
      </c>
      <c r="AC31" s="96" t="n">
        <f aca="false">INDEX(Train_In!$C$25:$E$25,AC$7)*AC30</f>
        <v>33</v>
      </c>
      <c r="AD31" s="96" t="n">
        <f aca="false">INDEX(Train_In!$C$25:$E$25,AD$7)*AD30</f>
        <v>60</v>
      </c>
      <c r="AE31" s="96" t="n">
        <f aca="false">INDEX(Train_In!$C$25:$E$25,AE$7)*AE30</f>
        <v>33</v>
      </c>
      <c r="AF31" s="96" t="n">
        <f aca="false">INDEX(Train_In!$C$25:$E$25,AF$7)*AF30</f>
        <v>60</v>
      </c>
      <c r="AG31" s="96" t="n">
        <f aca="false">INDEX(Train_In!$C$25:$E$25,AG$7)*AG30</f>
        <v>33</v>
      </c>
      <c r="AH31" s="96" t="n">
        <f aca="false">INDEX(Train_In!$C$25:$E$25,AH$7)*AH30</f>
        <v>60</v>
      </c>
    </row>
    <row r="32" customFormat="false" ht="15" hidden="false" customHeight="false" outlineLevel="0" collapsed="false">
      <c r="A32" s="58" t="s">
        <v>1005</v>
      </c>
      <c r="B32" s="59" t="s">
        <v>279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8" t="s">
        <v>1006</v>
      </c>
      <c r="B33" s="59" t="s">
        <v>279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8" t="s">
        <v>1007</v>
      </c>
      <c r="B34" s="59" t="s">
        <v>481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1008</v>
      </c>
      <c r="B35" s="59" t="s">
        <v>301</v>
      </c>
      <c r="C35" s="142" t="n">
        <f aca="false">C34*1000000000*C31*1000000000000</f>
        <v>1.2944163437568E+025</v>
      </c>
      <c r="D35" s="142" t="n">
        <f aca="false">D34*1000000000*D31*1000000000000</f>
        <v>6.8423878656E+025</v>
      </c>
      <c r="E35" s="142" t="n">
        <f aca="false">E34*1000000000*E31*1000000000000</f>
        <v>1.2944163437568E+025</v>
      </c>
      <c r="F35" s="142" t="n">
        <f aca="false">F34*1000000000*F31*1000000000000</f>
        <v>6.8423878656E+025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1.2944163437568E+025</v>
      </c>
      <c r="J35" s="142" t="n">
        <f aca="false">J34*1000000000*J31*1000000000000</f>
        <v>6.8423878656E+025</v>
      </c>
      <c r="K35" s="142" t="n">
        <f aca="false">K34*1000000000*K31*1000000000000</f>
        <v>6.472081718784E+024</v>
      </c>
      <c r="L35" s="142" t="n">
        <f aca="false">L34*1000000000*L31*1000000000000</f>
        <v>3.4211939328E+025</v>
      </c>
      <c r="M35" s="142" t="n">
        <f aca="false">M34*1000000000*M31*1000000000000</f>
        <v>2.16167529407386E+025</v>
      </c>
      <c r="N35" s="142" t="n">
        <f aca="false">N34*1000000000*N31*1000000000000</f>
        <v>1.1426787735552E+026</v>
      </c>
      <c r="O35" s="142" t="n">
        <f aca="false">O34*1000000000*O31*1000000000000</f>
        <v>1.2944163437568E+025</v>
      </c>
      <c r="P35" s="142" t="n">
        <f aca="false">P34*1000000000*P31*1000000000000</f>
        <v>6.8423878656E+025</v>
      </c>
      <c r="Q35" s="142" t="n">
        <f aca="false">Q34*1000000000*Q31*1000000000000</f>
        <v>1.2944163437568E+025</v>
      </c>
      <c r="R35" s="142" t="n">
        <f aca="false">R34*1000000000*R31*1000000000000</f>
        <v>6.8423878656E+025</v>
      </c>
      <c r="S35" s="142" t="n">
        <f aca="false">S34*1000000000*S31*1000000000000</f>
        <v>1.2944163437568E+025</v>
      </c>
      <c r="T35" s="142" t="n">
        <f aca="false">T34*1000000000*T31*1000000000000</f>
        <v>6.8423878656E+025</v>
      </c>
      <c r="U35" s="142" t="n">
        <f aca="false">U34*1000000000*U31*1000000000000</f>
        <v>1.2944163437568E+025</v>
      </c>
      <c r="V35" s="142" t="n">
        <f aca="false">V34*1000000000*V31*1000000000000</f>
        <v>6.8423878656E+025</v>
      </c>
      <c r="W35" s="142" t="n">
        <f aca="false">W34*1000000000*W31*1000000000000</f>
        <v>1.2944163437568E+025</v>
      </c>
      <c r="X35" s="142" t="n">
        <f aca="false">X34*1000000000*X31*1000000000000</f>
        <v>6.8423878656E+025</v>
      </c>
      <c r="Y35" s="142" t="n">
        <f aca="false">Y34*1000000000*Y31*1000000000000</f>
        <v>1.2944163437568E+025</v>
      </c>
      <c r="Z35" s="142" t="n">
        <f aca="false">Z34*1000000000*Z31*1000000000000</f>
        <v>6.8423878656E+025</v>
      </c>
      <c r="AA35" s="142" t="n">
        <f aca="false">AA34*1000000000*AA31*1000000000000</f>
        <v>1.2944163437568E+025</v>
      </c>
      <c r="AB35" s="142" t="n">
        <f aca="false">AB34*1000000000*AB31*1000000000000</f>
        <v>6.8423878656E+025</v>
      </c>
      <c r="AC35" s="142" t="n">
        <f aca="false">AC34*1000000000*AC31*1000000000000</f>
        <v>1.2944163437568E+025</v>
      </c>
      <c r="AD35" s="142" t="n">
        <f aca="false">AD34*1000000000*AD31*1000000000000</f>
        <v>6.8423878656E+025</v>
      </c>
      <c r="AE35" s="142" t="n">
        <f aca="false">AE34*1000000000*AE31*1000000000000</f>
        <v>1.2944163437568E+025</v>
      </c>
      <c r="AF35" s="142" t="n">
        <f aca="false">AF34*1000000000*AF31*1000000000000</f>
        <v>6.8423878656E+025</v>
      </c>
      <c r="AG35" s="142" t="n">
        <f aca="false">AG34*1000000000*AG31*1000000000000</f>
        <v>1.2944163437568E+025</v>
      </c>
      <c r="AH35" s="142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1009</v>
      </c>
      <c r="B36" s="59" t="s">
        <v>1010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1011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8" t="s">
        <v>1012</v>
      </c>
      <c r="B38" s="59" t="s">
        <v>942</v>
      </c>
      <c r="C38" s="96" t="n">
        <f aca="false">INDEX(Train_In!$C$27:$E$27,C$7)</f>
        <v>1</v>
      </c>
      <c r="D38" s="96" t="n">
        <f aca="false">INDEX(Train_In!$C$27:$E$27,D$7)</f>
        <v>2</v>
      </c>
      <c r="E38" s="96" t="n">
        <f aca="false">INDEX(Train_In!$C$27:$E$27,E$7)</f>
        <v>1</v>
      </c>
      <c r="F38" s="96" t="n">
        <f aca="false">INDEX(Train_In!$C$27:$E$27,F$7)</f>
        <v>2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2</v>
      </c>
      <c r="K38" s="96" t="n">
        <f aca="false">INDEX(Train_In!$C$27:$E$27,K$7)</f>
        <v>1</v>
      </c>
      <c r="L38" s="96" t="n">
        <f aca="false">INDEX(Train_In!$C$27:$E$27,L$7)</f>
        <v>2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2</v>
      </c>
      <c r="Q38" s="96" t="n">
        <f aca="false">INDEX(Train_In!$C$27:$E$27,Q$7)</f>
        <v>1</v>
      </c>
      <c r="R38" s="96" t="n">
        <f aca="false">INDEX(Train_In!$C$27:$E$27,R$7)</f>
        <v>2</v>
      </c>
      <c r="S38" s="96" t="n">
        <f aca="false">INDEX(Train_In!$C$27:$E$27,S$7)</f>
        <v>1</v>
      </c>
      <c r="T38" s="96" t="n">
        <f aca="false">INDEX(Train_In!$C$27:$E$27,T$7)</f>
        <v>2</v>
      </c>
      <c r="U38" s="96" t="n">
        <f aca="false">INDEX(Train_In!$C$27:$E$27,U$7)</f>
        <v>1</v>
      </c>
      <c r="V38" s="96" t="n">
        <f aca="false">INDEX(Train_In!$C$27:$E$27,V$7)</f>
        <v>2</v>
      </c>
      <c r="W38" s="96" t="n">
        <f aca="false">INDEX(Train_In!$C$27:$E$27,W$7)</f>
        <v>1</v>
      </c>
      <c r="X38" s="96" t="n">
        <f aca="false">INDEX(Train_In!$C$27:$E$27,X$7)</f>
        <v>2</v>
      </c>
      <c r="Y38" s="96" t="n">
        <f aca="false">INDEX(Train_In!$C$27:$E$27,Y$7)</f>
        <v>1</v>
      </c>
      <c r="Z38" s="96" t="n">
        <f aca="false">INDEX(Train_In!$C$27:$E$27,Z$7)</f>
        <v>2</v>
      </c>
      <c r="AA38" s="96" t="n">
        <f aca="false">INDEX(Train_In!$C$27:$E$27,AA$7)</f>
        <v>1</v>
      </c>
      <c r="AB38" s="96" t="n">
        <f aca="false">INDEX(Train_In!$C$27:$E$27,AB$7)</f>
        <v>2</v>
      </c>
      <c r="AC38" s="96" t="n">
        <f aca="false">INDEX(Train_In!$C$27:$E$27,AC$7)</f>
        <v>1</v>
      </c>
      <c r="AD38" s="96" t="n">
        <f aca="false">INDEX(Train_In!$C$27:$E$27,AD$7)</f>
        <v>2</v>
      </c>
      <c r="AE38" s="96" t="n">
        <f aca="false">INDEX(Train_In!$C$27:$E$27,AE$7)</f>
        <v>1</v>
      </c>
      <c r="AF38" s="96" t="n">
        <f aca="false">INDEX(Train_In!$C$27:$E$27,AF$7)</f>
        <v>2</v>
      </c>
      <c r="AG38" s="96" t="n">
        <f aca="false">INDEX(Train_In!$C$27:$E$27,AG$7)</f>
        <v>1</v>
      </c>
      <c r="AH38" s="96" t="n">
        <f aca="false">INDEX(Train_In!$C$27:$E$27,AH$7)</f>
        <v>2</v>
      </c>
    </row>
    <row r="39" customFormat="false" ht="15" hidden="false" customHeight="false" outlineLevel="0" collapsed="false">
      <c r="A39" s="58" t="s">
        <v>1005</v>
      </c>
      <c r="B39" s="59" t="s">
        <v>279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8" t="s">
        <v>1013</v>
      </c>
      <c r="B40" s="59" t="s">
        <v>279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1007</v>
      </c>
      <c r="B41" s="59" t="s">
        <v>481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1014</v>
      </c>
      <c r="B42" s="59" t="s">
        <v>301</v>
      </c>
      <c r="C42" s="142" t="n">
        <f aca="false">C41*1000000000*C38*1000000000000</f>
        <v>4.09293296787456E+023</v>
      </c>
      <c r="D42" s="142" t="n">
        <f aca="false">D41*1000000000*D38*1000000000000</f>
        <v>4.0927352832E+024</v>
      </c>
      <c r="E42" s="142" t="n">
        <f aca="false">E41*1000000000*E38*1000000000000</f>
        <v>4.09293296787456E+023</v>
      </c>
      <c r="F42" s="142" t="n">
        <f aca="false">F41*1000000000*F38*1000000000000</f>
        <v>4.0927352832E+024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4.09293296787456E+023</v>
      </c>
      <c r="J42" s="142" t="n">
        <f aca="false">J41*1000000000*J38*1000000000000</f>
        <v>4.0927352832E+024</v>
      </c>
      <c r="K42" s="142" t="n">
        <f aca="false">K41*1000000000*K38*1000000000000</f>
        <v>4.09293296787456E+023</v>
      </c>
      <c r="L42" s="142" t="n">
        <f aca="false">L41*1000000000*L38*1000000000000</f>
        <v>4.0927352832E+024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4.09293296787456E+023</v>
      </c>
      <c r="P42" s="142" t="n">
        <f aca="false">P41*1000000000*P38*1000000000000</f>
        <v>4.0927352832E+024</v>
      </c>
      <c r="Q42" s="142" t="n">
        <f aca="false">Q41*1000000000*Q38*1000000000000</f>
        <v>4.09293296787456E+023</v>
      </c>
      <c r="R42" s="142" t="n">
        <f aca="false">R41*1000000000*R38*1000000000000</f>
        <v>4.0927352832E+024</v>
      </c>
      <c r="S42" s="142" t="n">
        <f aca="false">S41*1000000000*S38*1000000000000</f>
        <v>4.09293296787456E+023</v>
      </c>
      <c r="T42" s="142" t="n">
        <f aca="false">T41*1000000000*T38*1000000000000</f>
        <v>4.0927352832E+024</v>
      </c>
      <c r="U42" s="142" t="n">
        <f aca="false">U41*1000000000*U38*1000000000000</f>
        <v>4.09293296787456E+023</v>
      </c>
      <c r="V42" s="142" t="n">
        <f aca="false">V41*1000000000*V38*1000000000000</f>
        <v>4.0927352832E+024</v>
      </c>
      <c r="W42" s="142" t="n">
        <f aca="false">W41*1000000000*W38*1000000000000</f>
        <v>4.09293296787456E+023</v>
      </c>
      <c r="X42" s="142" t="n">
        <f aca="false">X41*1000000000*X38*1000000000000</f>
        <v>4.0927352832E+024</v>
      </c>
      <c r="Y42" s="142" t="n">
        <f aca="false">Y41*1000000000*Y38*1000000000000</f>
        <v>4.09293296787456E+023</v>
      </c>
      <c r="Z42" s="142" t="n">
        <f aca="false">Z41*1000000000*Z38*1000000000000</f>
        <v>4.0927352832E+024</v>
      </c>
      <c r="AA42" s="142" t="n">
        <f aca="false">AA41*1000000000*AA38*1000000000000</f>
        <v>4.09293296787456E+023</v>
      </c>
      <c r="AB42" s="142" t="n">
        <f aca="false">AB41*1000000000*AB38*1000000000000</f>
        <v>4.0927352832E+024</v>
      </c>
      <c r="AC42" s="142" t="n">
        <f aca="false">AC41*1000000000*AC38*1000000000000</f>
        <v>4.09293296787456E+023</v>
      </c>
      <c r="AD42" s="142" t="n">
        <f aca="false">AD41*1000000000*AD38*1000000000000</f>
        <v>4.0927352832E+024</v>
      </c>
      <c r="AE42" s="142" t="n">
        <f aca="false">AE41*1000000000*AE38*1000000000000</f>
        <v>4.09293296787456E+023</v>
      </c>
      <c r="AF42" s="142" t="n">
        <f aca="false">AF41*1000000000*AF38*1000000000000</f>
        <v>4.0927352832E+024</v>
      </c>
      <c r="AG42" s="142" t="n">
        <f aca="false">AG41*1000000000*AG38*1000000000000</f>
        <v>4.09293296787456E+023</v>
      </c>
      <c r="AH42" s="142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1015</v>
      </c>
      <c r="B43" s="59" t="s">
        <v>1010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1016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59" t="s">
        <v>949</v>
      </c>
      <c r="B45" s="59" t="s">
        <v>942</v>
      </c>
      <c r="C45" s="93" t="n">
        <f aca="false">INDEX(Train_In!$C$29:$E$29,C$7)</f>
        <v>0.05</v>
      </c>
      <c r="D45" s="93" t="n">
        <f aca="false">INDEX(Train_In!$C$29:$E$29,D$7)</f>
        <v>0.1</v>
      </c>
      <c r="E45" s="93" t="n">
        <f aca="false">INDEX(Train_In!$C$29:$E$29,E$7)</f>
        <v>0.05</v>
      </c>
      <c r="F45" s="93" t="n">
        <f aca="false">INDEX(Train_In!$C$29:$E$29,F$7)</f>
        <v>0.1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0.1</v>
      </c>
      <c r="K45" s="93" t="n">
        <f aca="false">INDEX(Train_In!$C$29:$E$29,K$7)</f>
        <v>0.05</v>
      </c>
      <c r="L45" s="93" t="n">
        <f aca="false">INDEX(Train_In!$C$29:$E$29,L$7)</f>
        <v>0.1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0.1</v>
      </c>
      <c r="Q45" s="93" t="n">
        <f aca="false">INDEX(Train_In!$C$29:$E$29,Q$7)</f>
        <v>0.05</v>
      </c>
      <c r="R45" s="93" t="n">
        <f aca="false">INDEX(Train_In!$C$29:$E$29,R$7)</f>
        <v>0.1</v>
      </c>
      <c r="S45" s="93" t="n">
        <f aca="false">INDEX(Train_In!$C$29:$E$29,S$7)</f>
        <v>0.05</v>
      </c>
      <c r="T45" s="93" t="n">
        <f aca="false">INDEX(Train_In!$C$29:$E$29,T$7)</f>
        <v>0.1</v>
      </c>
      <c r="U45" s="93" t="n">
        <f aca="false">INDEX(Train_In!$C$29:$E$29,U$7)</f>
        <v>0.05</v>
      </c>
      <c r="V45" s="93" t="n">
        <f aca="false">INDEX(Train_In!$C$29:$E$29,V$7)</f>
        <v>0.1</v>
      </c>
      <c r="W45" s="93" t="n">
        <f aca="false">INDEX(Train_In!$C$29:$E$29,W$7)</f>
        <v>0.05</v>
      </c>
      <c r="X45" s="93" t="n">
        <f aca="false">INDEX(Train_In!$C$29:$E$29,X$7)</f>
        <v>0.1</v>
      </c>
      <c r="Y45" s="93" t="n">
        <f aca="false">INDEX(Train_In!$C$29:$E$29,Y$7)</f>
        <v>0.05</v>
      </c>
      <c r="Z45" s="93" t="n">
        <f aca="false">INDEX(Train_In!$C$29:$E$29,Z$7)</f>
        <v>0.1</v>
      </c>
      <c r="AA45" s="93" t="n">
        <f aca="false">INDEX(Train_In!$C$29:$E$29,AA$7)</f>
        <v>0.05</v>
      </c>
      <c r="AB45" s="93" t="n">
        <f aca="false">INDEX(Train_In!$C$29:$E$29,AB$7)</f>
        <v>0.1</v>
      </c>
      <c r="AC45" s="93" t="n">
        <f aca="false">INDEX(Train_In!$C$29:$E$29,AC$7)</f>
        <v>0.05</v>
      </c>
      <c r="AD45" s="93" t="n">
        <f aca="false">INDEX(Train_In!$C$29:$E$29,AD$7)</f>
        <v>0.1</v>
      </c>
      <c r="AE45" s="93" t="n">
        <f aca="false">INDEX(Train_In!$C$29:$E$29,AE$7)</f>
        <v>0.05</v>
      </c>
      <c r="AF45" s="93" t="n">
        <f aca="false">INDEX(Train_In!$C$29:$E$29,AF$7)</f>
        <v>0.1</v>
      </c>
      <c r="AG45" s="93" t="n">
        <f aca="false">INDEX(Train_In!$C$29:$E$29,AG$7)</f>
        <v>0.05</v>
      </c>
      <c r="AH45" s="93" t="n">
        <f aca="false">INDEX(Train_In!$C$29:$E$29,AH$7)</f>
        <v>0.1</v>
      </c>
    </row>
    <row r="46" customFormat="false" ht="15" hidden="false" customHeight="false" outlineLevel="0" collapsed="false">
      <c r="A46" s="58" t="s">
        <v>1005</v>
      </c>
      <c r="B46" s="59" t="s">
        <v>279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8" t="s">
        <v>1013</v>
      </c>
      <c r="B47" s="59" t="s">
        <v>279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1007</v>
      </c>
      <c r="B48" s="59" t="s">
        <v>481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59" t="s">
        <v>1017</v>
      </c>
      <c r="B49" s="59" t="s">
        <v>301</v>
      </c>
      <c r="C49" s="142" t="n">
        <f aca="false">C48*1000000000*C45*1000000000000</f>
        <v>1.99187778514944E+022</v>
      </c>
      <c r="D49" s="142" t="n">
        <f aca="false">D48*1000000000*D45*1000000000000</f>
        <v>1.2007959552E+023</v>
      </c>
      <c r="E49" s="142" t="n">
        <f aca="false">E48*1000000000*E45*1000000000000</f>
        <v>1.99187778514944E+022</v>
      </c>
      <c r="F49" s="142" t="n">
        <f aca="false">F48*1000000000*F45*1000000000000</f>
        <v>1.2007959552E+023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1.99187778514944E+022</v>
      </c>
      <c r="J49" s="142" t="n">
        <f aca="false">J48*1000000000*J45*1000000000000</f>
        <v>1.2007959552E+023</v>
      </c>
      <c r="K49" s="142" t="n">
        <f aca="false">K48*1000000000*K45*1000000000000</f>
        <v>1.99187778514944E+022</v>
      </c>
      <c r="L49" s="142" t="n">
        <f aca="false">L48*1000000000*L45*1000000000000</f>
        <v>1.2007959552E+023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1.99187778514944E+022</v>
      </c>
      <c r="P49" s="142" t="n">
        <f aca="false">P48*1000000000*P45*1000000000000</f>
        <v>1.2007959552E+023</v>
      </c>
      <c r="Q49" s="142" t="n">
        <f aca="false">Q48*1000000000*Q45*1000000000000</f>
        <v>1.99187778514944E+022</v>
      </c>
      <c r="R49" s="142" t="n">
        <f aca="false">R48*1000000000*R45*1000000000000</f>
        <v>1.2007959552E+023</v>
      </c>
      <c r="S49" s="142" t="n">
        <f aca="false">S48*1000000000*S45*1000000000000</f>
        <v>1.99187778514944E+022</v>
      </c>
      <c r="T49" s="142" t="n">
        <f aca="false">T48*1000000000*T45*1000000000000</f>
        <v>1.2007959552E+023</v>
      </c>
      <c r="U49" s="142" t="n">
        <f aca="false">U48*1000000000*U45*1000000000000</f>
        <v>1.99187778514944E+022</v>
      </c>
      <c r="V49" s="142" t="n">
        <f aca="false">V48*1000000000*V45*1000000000000</f>
        <v>1.2007959552E+023</v>
      </c>
      <c r="W49" s="142" t="n">
        <f aca="false">W48*1000000000*W45*1000000000000</f>
        <v>1.99187778514944E+022</v>
      </c>
      <c r="X49" s="142" t="n">
        <f aca="false">X48*1000000000*X45*1000000000000</f>
        <v>1.2007959552E+023</v>
      </c>
      <c r="Y49" s="142" t="n">
        <f aca="false">Y48*1000000000*Y45*1000000000000</f>
        <v>1.99187778514944E+022</v>
      </c>
      <c r="Z49" s="142" t="n">
        <f aca="false">Z48*1000000000*Z45*1000000000000</f>
        <v>1.2007959552E+023</v>
      </c>
      <c r="AA49" s="142" t="n">
        <f aca="false">AA48*1000000000*AA45*1000000000000</f>
        <v>1.99187778514944E+022</v>
      </c>
      <c r="AB49" s="142" t="n">
        <f aca="false">AB48*1000000000*AB45*1000000000000</f>
        <v>1.2007959552E+023</v>
      </c>
      <c r="AC49" s="142" t="n">
        <f aca="false">AC48*1000000000*AC45*1000000000000</f>
        <v>1.99187778514944E+022</v>
      </c>
      <c r="AD49" s="142" t="n">
        <f aca="false">AD48*1000000000*AD45*1000000000000</f>
        <v>1.2007959552E+023</v>
      </c>
      <c r="AE49" s="142" t="n">
        <f aca="false">AE48*1000000000*AE45*1000000000000</f>
        <v>1.99187778514944E+022</v>
      </c>
      <c r="AF49" s="142" t="n">
        <f aca="false">AF48*1000000000*AF45*1000000000000</f>
        <v>1.2007959552E+023</v>
      </c>
      <c r="AG49" s="142" t="n">
        <f aca="false">AG48*1000000000*AG45*1000000000000</f>
        <v>1.99187778514944E+022</v>
      </c>
      <c r="AH49" s="142" t="n">
        <f aca="false">AH48*1000000000*AH45*1000000000000</f>
        <v>1.2007959552E+023</v>
      </c>
    </row>
    <row r="50" customFormat="false" ht="15" hidden="false" customHeight="false" outlineLevel="0" collapsed="false">
      <c r="A50" s="59" t="s">
        <v>1018</v>
      </c>
      <c r="B50" s="59" t="s">
        <v>97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  <c r="R50" s="95" t="n">
        <f aca="false">Train_In!$C$8</f>
        <v>0.8</v>
      </c>
      <c r="S50" s="95" t="n">
        <f aca="false">Train_In!$C$8</f>
        <v>0.8</v>
      </c>
      <c r="T50" s="95" t="n">
        <f aca="false">Train_In!$C$8</f>
        <v>0.8</v>
      </c>
      <c r="U50" s="95" t="n">
        <f aca="false">Train_In!$C$8</f>
        <v>0.8</v>
      </c>
      <c r="V50" s="95" t="n">
        <f aca="false">Train_In!$C$8</f>
        <v>0.8</v>
      </c>
      <c r="W50" s="95" t="n">
        <f aca="false">Train_In!$C$8</f>
        <v>0.8</v>
      </c>
      <c r="X50" s="95" t="n">
        <f aca="false">Train_In!$C$8</f>
        <v>0.8</v>
      </c>
      <c r="Y50" s="95" t="n">
        <f aca="false">Train_In!$C$8</f>
        <v>0.8</v>
      </c>
      <c r="Z50" s="95" t="n">
        <f aca="false">Train_In!$C$8</f>
        <v>0.8</v>
      </c>
      <c r="AA50" s="95" t="n">
        <f aca="false">Train_In!$C$8</f>
        <v>0.8</v>
      </c>
      <c r="AB50" s="95" t="n">
        <f aca="false">Train_In!$C$8</f>
        <v>0.8</v>
      </c>
      <c r="AC50" s="95" t="n">
        <f aca="false">Train_In!$C$8</f>
        <v>0.8</v>
      </c>
      <c r="AD50" s="95" t="n">
        <f aca="false">Train_In!$C$8</f>
        <v>0.8</v>
      </c>
      <c r="AE50" s="95" t="n">
        <f aca="false">Train_In!$C$8</f>
        <v>0.8</v>
      </c>
      <c r="AF50" s="95" t="n">
        <f aca="false">Train_In!$C$8</f>
        <v>0.8</v>
      </c>
      <c r="AG50" s="95" t="n">
        <f aca="false">Train_In!$C$8</f>
        <v>0.8</v>
      </c>
      <c r="AH50" s="95" t="n">
        <f aca="false">Train_In!$C$8</f>
        <v>0.8</v>
      </c>
    </row>
    <row r="51" customFormat="false" ht="15" hidden="false" customHeight="false" outlineLevel="0" collapsed="false">
      <c r="A51" s="59" t="s">
        <v>1019</v>
      </c>
      <c r="B51" s="59" t="s">
        <v>1010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1020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59" t="s">
        <v>1021</v>
      </c>
      <c r="B53" s="59" t="s">
        <v>942</v>
      </c>
      <c r="C53" s="96" t="n">
        <f aca="false">INDEX(Train_In!$C$34:$E$34,C$7)</f>
        <v>2.36</v>
      </c>
      <c r="D53" s="96" t="n">
        <f aca="false">INDEX(Train_In!$C$34:$E$34,D$7)</f>
        <v>9.6</v>
      </c>
      <c r="E53" s="96" t="n">
        <f aca="false">INDEX(Train_In!$C$34:$E$34,E$7)</f>
        <v>2.36</v>
      </c>
      <c r="F53" s="96" t="n">
        <f aca="false">INDEX(Train_In!$C$34:$E$34,F$7)</f>
        <v>9.6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9.6</v>
      </c>
      <c r="K53" s="96" t="n">
        <f aca="false">INDEX(Train_In!$C$34:$E$34,K$7)</f>
        <v>2.36</v>
      </c>
      <c r="L53" s="96" t="n">
        <f aca="false">INDEX(Train_In!$C$34:$E$34,L$7)</f>
        <v>9.6</v>
      </c>
      <c r="M53" s="96" t="n">
        <f aca="false">INDEX(Train_In!$C$34:$E$34,M$7)</f>
        <v>2.36</v>
      </c>
      <c r="N53" s="96" t="n">
        <f aca="false">INDEX(Train_In!$C$34:$E$34,N$7)</f>
        <v>9.6</v>
      </c>
      <c r="O53" s="144" t="n">
        <f aca="false">INDEX(Train_In!$C$34:$E$34,O$7)*O$8</f>
        <v>0.708</v>
      </c>
      <c r="P53" s="144" t="n">
        <f aca="false">INDEX(Train_In!$C$34:$E$34,P$7)*P$8</f>
        <v>2.88</v>
      </c>
      <c r="Q53" s="144" t="n">
        <f aca="false">INDEX(Train_In!$C$34:$E$34,Q$7)*Q$8</f>
        <v>7.08</v>
      </c>
      <c r="R53" s="144" t="n">
        <f aca="false">INDEX(Train_In!$C$34:$E$34,R$7)*R$8</f>
        <v>28.8</v>
      </c>
      <c r="S53" s="96" t="n">
        <f aca="false">INDEX(Train_In!$C$34:$E$34,S$7)</f>
        <v>2.36</v>
      </c>
      <c r="T53" s="96" t="n">
        <f aca="false">INDEX(Train_In!$C$34:$E$34,T$7)</f>
        <v>9.6</v>
      </c>
      <c r="U53" s="96" t="n">
        <f aca="false">INDEX(Train_In!$C$34:$E$34,U$7)</f>
        <v>2.36</v>
      </c>
      <c r="V53" s="96" t="n">
        <f aca="false">INDEX(Train_In!$C$34:$E$34,V$7)</f>
        <v>9.6</v>
      </c>
      <c r="W53" s="96" t="n">
        <f aca="false">INDEX(Train_In!$C$34:$E$34,W$7)</f>
        <v>2.36</v>
      </c>
      <c r="X53" s="96" t="n">
        <f aca="false">INDEX(Train_In!$C$34:$E$34,X$7)</f>
        <v>9.6</v>
      </c>
      <c r="Y53" s="96" t="n">
        <f aca="false">INDEX(Train_In!$C$34:$E$34,Y$7)</f>
        <v>2.36</v>
      </c>
      <c r="Z53" s="96" t="n">
        <f aca="false">INDEX(Train_In!$C$34:$E$34,Z$7)</f>
        <v>9.6</v>
      </c>
      <c r="AA53" s="96" t="n">
        <f aca="false">INDEX(Train_In!$C$34:$E$34,AA$7)</f>
        <v>2.36</v>
      </c>
      <c r="AB53" s="96" t="n">
        <f aca="false">INDEX(Train_In!$C$34:$E$34,AB$7)</f>
        <v>9.6</v>
      </c>
      <c r="AC53" s="96" t="n">
        <f aca="false">INDEX(Train_In!$C$34:$E$34,AC$7)</f>
        <v>2.36</v>
      </c>
      <c r="AD53" s="96" t="n">
        <f aca="false">INDEX(Train_In!$C$34:$E$34,AD$7)</f>
        <v>9.6</v>
      </c>
      <c r="AE53" s="96" t="n">
        <f aca="false">INDEX(Train_In!$C$34:$E$34,AE$7)</f>
        <v>2.36</v>
      </c>
      <c r="AF53" s="96" t="n">
        <f aca="false">INDEX(Train_In!$C$34:$E$34,AF$7)</f>
        <v>9.6</v>
      </c>
      <c r="AG53" s="96" t="n">
        <f aca="false">INDEX(Train_In!$C$34:$E$34,AG$7)</f>
        <v>2.36</v>
      </c>
      <c r="AH53" s="96" t="n">
        <f aca="false">INDEX(Train_In!$C$34:$E$34,AH$7)</f>
        <v>9.6</v>
      </c>
    </row>
    <row r="54" customFormat="false" ht="15" hidden="false" customHeight="false" outlineLevel="0" collapsed="false">
      <c r="A54" s="58" t="s">
        <v>1022</v>
      </c>
      <c r="B54" s="59" t="s">
        <v>279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1023</v>
      </c>
      <c r="B55" s="59" t="s">
        <v>279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1024</v>
      </c>
      <c r="B56" s="58" t="s">
        <v>316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59" t="s">
        <v>1025</v>
      </c>
      <c r="B57" s="58" t="s">
        <v>316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  <c r="R57" s="87" t="n">
        <f aca="false">Train_In!$C$12</f>
        <v>16</v>
      </c>
      <c r="S57" s="87" t="n">
        <f aca="false">Train_In!$C$12</f>
        <v>16</v>
      </c>
      <c r="T57" s="87" t="n">
        <f aca="false">Train_In!$C$12</f>
        <v>16</v>
      </c>
      <c r="U57" s="87" t="n">
        <f aca="false">Train_In!$C$12</f>
        <v>16</v>
      </c>
      <c r="V57" s="87" t="n">
        <f aca="false">Train_In!$C$12</f>
        <v>16</v>
      </c>
      <c r="W57" s="87" t="n">
        <f aca="false">Train_In!$C$12</f>
        <v>16</v>
      </c>
      <c r="X57" s="87" t="n">
        <f aca="false">Train_In!$C$12</f>
        <v>16</v>
      </c>
      <c r="Y57" s="87" t="n">
        <f aca="false">Train_In!$C$12</f>
        <v>16</v>
      </c>
      <c r="Z57" s="87" t="n">
        <f aca="false">Train_In!$C$12</f>
        <v>16</v>
      </c>
      <c r="AA57" s="87" t="n">
        <f aca="false">Train_In!$C$12</f>
        <v>16</v>
      </c>
      <c r="AB57" s="87" t="n">
        <f aca="false">Train_In!$C$12</f>
        <v>16</v>
      </c>
      <c r="AC57" s="87" t="n">
        <f aca="false">Train_In!$C$12</f>
        <v>16</v>
      </c>
      <c r="AD57" s="87" t="n">
        <f aca="false">Train_In!$C$12</f>
        <v>16</v>
      </c>
      <c r="AE57" s="87" t="n">
        <f aca="false">Train_In!$C$12</f>
        <v>16</v>
      </c>
      <c r="AF57" s="87" t="n">
        <f aca="false">Train_In!$C$12</f>
        <v>16</v>
      </c>
      <c r="AG57" s="87" t="n">
        <f aca="false">Train_In!$C$12</f>
        <v>16</v>
      </c>
      <c r="AH57" s="87" t="n">
        <f aca="false">Train_In!$C$12</f>
        <v>16</v>
      </c>
    </row>
    <row r="58" customFormat="false" ht="15" hidden="false" customHeight="false" outlineLevel="0" collapsed="false">
      <c r="A58" s="58" t="s">
        <v>1026</v>
      </c>
      <c r="B58" s="59" t="s">
        <v>942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59" t="s">
        <v>1027</v>
      </c>
      <c r="B59" s="59" t="s">
        <v>791</v>
      </c>
      <c r="C59" s="96" t="n">
        <f aca="false">INDEX(Perf_Batch!$C$103:$Q$103,3*(C$6-1)+C$7)</f>
        <v>248.860047861003</v>
      </c>
      <c r="D59" s="96" t="n">
        <f aca="false">INDEX(Perf_Batch!$C$103:$Q$103,3*(D$6-1)+D$7)</f>
        <v>1060.88763337202</v>
      </c>
      <c r="E59" s="96" t="n">
        <f aca="false">INDEX(Perf_Batch!$C$103:$Q$103,3*(E$6-1)+E$7)</f>
        <v>248.860047861003</v>
      </c>
      <c r="F59" s="96" t="n">
        <f aca="false">INDEX(Perf_Batch!$C$103:$Q$103,3*(F$6-1)+F$7)</f>
        <v>1060.88763337202</v>
      </c>
      <c r="G59" s="96" t="n">
        <f aca="false">INDEX(Perf_Batch!$C$103:$Q$103,3*(G$6-1)+G$7)</f>
        <v>248.860047861003</v>
      </c>
      <c r="H59" s="96" t="n">
        <f aca="false">INDEX(Perf_Batch!$C$103:$Q$103,3*(H$6-1)+H$7)</f>
        <v>1060.88763337202</v>
      </c>
      <c r="I59" s="96" t="n">
        <f aca="false">INDEX(Perf_Batch!$C$103:$Q$103,3*(I$6-1)+I$7)</f>
        <v>248.860047861003</v>
      </c>
      <c r="J59" s="96" t="n">
        <f aca="false">INDEX(Perf_Batch!$C$103:$Q$103,3*(J$6-1)+J$7)</f>
        <v>1060.88763337202</v>
      </c>
      <c r="K59" s="96" t="n">
        <f aca="false">INDEX(Perf_Batch!$C$103:$Q$103,3*(K$6-1)+K$7)</f>
        <v>248.860047861003</v>
      </c>
      <c r="L59" s="96" t="n">
        <f aca="false">INDEX(Perf_Batch!$C$103:$Q$103,3*(L$6-1)+L$7)</f>
        <v>1060.88763337202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248.860047861003</v>
      </c>
      <c r="P59" s="96" t="n">
        <f aca="false">INDEX(Perf_Batch!$C$103:$Q$103,3*(P$6-1)+P$7)</f>
        <v>1060.88763337202</v>
      </c>
      <c r="Q59" s="96" t="n">
        <f aca="false">INDEX(Perf_Batch!$C$103:$Q$103,3*(Q$6-1)+Q$7)</f>
        <v>248.860047861003</v>
      </c>
      <c r="R59" s="96" t="n">
        <f aca="false">INDEX(Perf_Batch!$C$103:$Q$103,3*(R$6-1)+R$7)</f>
        <v>1060.88763337202</v>
      </c>
      <c r="S59" s="96" t="n">
        <f aca="false">INDEX(Perf_Batch!$C$103:$Q$103,3*(S$6-1)+S$7)</f>
        <v>248.860047861003</v>
      </c>
      <c r="T59" s="96" t="n">
        <f aca="false">INDEX(Perf_Batch!$C$103:$Q$103,3*(T$6-1)+T$7)</f>
        <v>1060.88763337202</v>
      </c>
      <c r="U59" s="96" t="n">
        <f aca="false">INDEX(Perf_Batch!$C$103:$Q$103,3*(U$6-1)+U$7)</f>
        <v>248.860047861003</v>
      </c>
      <c r="V59" s="96" t="n">
        <f aca="false">INDEX(Perf_Batch!$C$103:$Q$103,3*(V$6-1)+V$7)</f>
        <v>1060.88763337202</v>
      </c>
      <c r="W59" s="144" t="n">
        <f aca="false">Perf_Batch!R103</f>
        <v>376.528296742994</v>
      </c>
      <c r="X59" s="144" t="n">
        <f aca="false">Perf_Batch!S103</f>
        <v>1613.65667842833</v>
      </c>
      <c r="Y59" s="96" t="n">
        <f aca="false">INDEX(Perf_Batch!$C$103:$Q$103,3*(Y$6-1)+Y$7)</f>
        <v>248.860047861003</v>
      </c>
      <c r="Z59" s="96" t="n">
        <f aca="false">INDEX(Perf_Batch!$C$103:$Q$103,3*(Z$6-1)+Z$7)</f>
        <v>1060.88763337202</v>
      </c>
      <c r="AA59" s="96" t="n">
        <f aca="false">INDEX(Perf_Batch!$C$103:$Q$103,3*(AA$6-1)+AA$7)</f>
        <v>248.860047861003</v>
      </c>
      <c r="AB59" s="96" t="n">
        <f aca="false">INDEX(Perf_Batch!$C$103:$Q$103,3*(AB$6-1)+AB$7)</f>
        <v>1060.88763337202</v>
      </c>
      <c r="AC59" s="96" t="n">
        <f aca="false">INDEX(Perf_Batch!$C$103:$Q$103,3*(AC$6-1)+AC$7)</f>
        <v>248.860047861003</v>
      </c>
      <c r="AD59" s="96" t="n">
        <f aca="false">INDEX(Perf_Batch!$C$103:$Q$103,3*(AD$6-1)+AD$7)</f>
        <v>1060.88763337202</v>
      </c>
      <c r="AE59" s="96" t="n">
        <f aca="false">INDEX(Perf_Batch!$C$103:$Q$103,3*(AE$6-1)+AE$7)</f>
        <v>248.860047861003</v>
      </c>
      <c r="AF59" s="96" t="n">
        <f aca="false">INDEX(Perf_Batch!$C$103:$Q$103,3*(AF$6-1)+AF$7)</f>
        <v>1060.88763337202</v>
      </c>
      <c r="AG59" s="96" t="n">
        <f aca="false">INDEX(Perf_Batch!$C$103:$Q$103,3*(AG$6-1)+AG$7)</f>
        <v>248.860047861003</v>
      </c>
      <c r="AH59" s="96" t="n">
        <f aca="false">INDEX(Perf_Batch!$C$103:$Q$103,3*(AH$6-1)+AH$7)</f>
        <v>1060.88763337202</v>
      </c>
    </row>
    <row r="60" customFormat="false" ht="15" hidden="false" customHeight="false" outlineLevel="0" collapsed="false">
      <c r="A60" s="59" t="s">
        <v>1028</v>
      </c>
      <c r="B60" s="59" t="s">
        <v>791</v>
      </c>
      <c r="C60" s="96" t="n">
        <f aca="false">INDEX(Perf_Batch!$C$101:$Q$101,3*(C$6-1)+C$7)</f>
        <v>12.5261781471817</v>
      </c>
      <c r="D60" s="96" t="n">
        <f aca="false">INDEX(Perf_Batch!$C$101:$Q$101,3*(D$6-1)+D$7)</f>
        <v>38.1205065142857</v>
      </c>
      <c r="E60" s="96" t="n">
        <f aca="false">INDEX(Perf_Batch!$C$101:$Q$101,3*(E$6-1)+E$7)</f>
        <v>12.5261781471817</v>
      </c>
      <c r="F60" s="96" t="n">
        <f aca="false">INDEX(Perf_Batch!$C$101:$Q$101,3*(F$6-1)+F$7)</f>
        <v>38.1205065142857</v>
      </c>
      <c r="G60" s="96" t="n">
        <f aca="false">INDEX(Perf_Batch!$C$101:$Q$101,3*(G$6-1)+G$7)</f>
        <v>12.5261781471817</v>
      </c>
      <c r="H60" s="96" t="n">
        <f aca="false">INDEX(Perf_Batch!$C$101:$Q$101,3*(H$6-1)+H$7)</f>
        <v>38.1205065142857</v>
      </c>
      <c r="I60" s="96" t="n">
        <f aca="false">INDEX(Perf_Batch!$C$101:$Q$101,3*(I$6-1)+I$7)</f>
        <v>12.5261781471817</v>
      </c>
      <c r="J60" s="96" t="n">
        <f aca="false">INDEX(Perf_Batch!$C$101:$Q$101,3*(J$6-1)+J$7)</f>
        <v>38.1205065142857</v>
      </c>
      <c r="K60" s="96" t="n">
        <f aca="false">INDEX(Perf_Batch!$C$101:$Q$101,3*(K$6-1)+K$7)</f>
        <v>12.5261781471817</v>
      </c>
      <c r="L60" s="96" t="n">
        <f aca="false">INDEX(Perf_Batch!$C$101:$Q$101,3*(L$6-1)+L$7)</f>
        <v>38.1205065142857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12.5261781471817</v>
      </c>
      <c r="P60" s="96" t="n">
        <f aca="false">INDEX(Perf_Batch!$C$101:$Q$101,3*(P$6-1)+P$7)</f>
        <v>38.1205065142857</v>
      </c>
      <c r="Q60" s="96" t="n">
        <f aca="false">INDEX(Perf_Batch!$C$101:$Q$101,3*(Q$6-1)+Q$7)</f>
        <v>12.5261781471817</v>
      </c>
      <c r="R60" s="96" t="n">
        <f aca="false">INDEX(Perf_Batch!$C$101:$Q$101,3*(R$6-1)+R$7)</f>
        <v>38.1205065142857</v>
      </c>
      <c r="S60" s="96" t="n">
        <f aca="false">INDEX(Perf_Batch!$C$101:$Q$101,3*(S$6-1)+S$7)</f>
        <v>12.5261781471817</v>
      </c>
      <c r="T60" s="96" t="n">
        <f aca="false">INDEX(Perf_Batch!$C$101:$Q$101,3*(T$6-1)+T$7)</f>
        <v>38.1205065142857</v>
      </c>
      <c r="U60" s="96" t="n">
        <f aca="false">INDEX(Perf_Batch!$C$101:$Q$101,3*(U$6-1)+U$7)</f>
        <v>12.5261781471817</v>
      </c>
      <c r="V60" s="96" t="n">
        <f aca="false">INDEX(Perf_Batch!$C$101:$Q$101,3*(V$6-1)+V$7)</f>
        <v>38.1205065142857</v>
      </c>
      <c r="W60" s="144" t="n">
        <f aca="false">Perf_Batch!R101</f>
        <v>25.0523562943634</v>
      </c>
      <c r="X60" s="144" t="n">
        <f aca="false">Perf_Batch!S101</f>
        <v>76.2410130285714</v>
      </c>
      <c r="Y60" s="96" t="n">
        <f aca="false">INDEX(Perf_Batch!$C$101:$Q$101,3*(Y$6-1)+Y$7)</f>
        <v>12.5261781471817</v>
      </c>
      <c r="Z60" s="96" t="n">
        <f aca="false">INDEX(Perf_Batch!$C$101:$Q$101,3*(Z$6-1)+Z$7)</f>
        <v>38.1205065142857</v>
      </c>
      <c r="AA60" s="96" t="n">
        <f aca="false">INDEX(Perf_Batch!$C$101:$Q$101,3*(AA$6-1)+AA$7)</f>
        <v>12.5261781471817</v>
      </c>
      <c r="AB60" s="96" t="n">
        <f aca="false">INDEX(Perf_Batch!$C$101:$Q$101,3*(AB$6-1)+AB$7)</f>
        <v>38.1205065142857</v>
      </c>
      <c r="AC60" s="96" t="n">
        <f aca="false">INDEX(Perf_Batch!$C$101:$Q$101,3*(AC$6-1)+AC$7)</f>
        <v>12.5261781471817</v>
      </c>
      <c r="AD60" s="96" t="n">
        <f aca="false">INDEX(Perf_Batch!$C$101:$Q$101,3*(AD$6-1)+AD$7)</f>
        <v>38.1205065142857</v>
      </c>
      <c r="AE60" s="96" t="n">
        <f aca="false">INDEX(Perf_Batch!$C$101:$Q$101,3*(AE$6-1)+AE$7)</f>
        <v>12.5261781471817</v>
      </c>
      <c r="AF60" s="96" t="n">
        <f aca="false">INDEX(Perf_Batch!$C$101:$Q$101,3*(AF$6-1)+AF$7)</f>
        <v>38.1205065142857</v>
      </c>
      <c r="AG60" s="96" t="n">
        <f aca="false">INDEX(Perf_Batch!$C$101:$Q$101,3*(AG$6-1)+AG$7)</f>
        <v>12.5261781471817</v>
      </c>
      <c r="AH60" s="96" t="n">
        <f aca="false">INDEX(Perf_Batch!$C$101:$Q$101,3*(AH$6-1)+AH$7)</f>
        <v>38.1205065142857</v>
      </c>
    </row>
    <row r="61" customFormat="false" ht="15" hidden="false" customHeight="false" outlineLevel="0" collapsed="false">
      <c r="A61" s="59" t="s">
        <v>1029</v>
      </c>
      <c r="B61" s="59" t="s">
        <v>481</v>
      </c>
      <c r="C61" s="96" t="n">
        <f aca="false">INDEX(Perf_Batch!$C$65:$Q$65,3*(C$6-1)+C$7)</f>
        <v>133.311744712704</v>
      </c>
      <c r="D61" s="96" t="n">
        <f aca="false">INDEX(Perf_Batch!$C$65:$Q$65,3*(D$6-1)+D$7)</f>
        <v>521.0612736</v>
      </c>
      <c r="E61" s="96" t="n">
        <f aca="false">INDEX(Perf_Batch!$C$65:$Q$65,3*(E$6-1)+E$7)</f>
        <v>133.311744712704</v>
      </c>
      <c r="F61" s="96" t="n">
        <f aca="false">INDEX(Perf_Batch!$C$65:$Q$65,3*(F$6-1)+F$7)</f>
        <v>521.0612736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133.311744712704</v>
      </c>
      <c r="J61" s="96" t="n">
        <f aca="false">INDEX(Perf_Batch!$C$65:$Q$65,3*(J$6-1)+J$7)</f>
        <v>521.0612736</v>
      </c>
      <c r="K61" s="96" t="n">
        <f aca="false">INDEX(Perf_Batch!$C$65:$Q$65,3*(K$6-1)+K$7)</f>
        <v>133.311744712704</v>
      </c>
      <c r="L61" s="96" t="n">
        <f aca="false">INDEX(Perf_Batch!$C$65:$Q$65,3*(L$6-1)+L$7)</f>
        <v>521.0612736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133.311744712704</v>
      </c>
      <c r="P61" s="96" t="n">
        <f aca="false">INDEX(Perf_Batch!$C$65:$Q$65,3*(P$6-1)+P$7)</f>
        <v>521.0612736</v>
      </c>
      <c r="Q61" s="96" t="n">
        <f aca="false">INDEX(Perf_Batch!$C$65:$Q$65,3*(Q$6-1)+Q$7)</f>
        <v>133.311744712704</v>
      </c>
      <c r="R61" s="96" t="n">
        <f aca="false">INDEX(Perf_Batch!$C$65:$Q$65,3*(R$6-1)+R$7)</f>
        <v>521.0612736</v>
      </c>
      <c r="S61" s="96" t="n">
        <f aca="false">INDEX(Perf_Batch!$C$65:$Q$65,3*(S$6-1)+S$7)</f>
        <v>133.311744712704</v>
      </c>
      <c r="T61" s="96" t="n">
        <f aca="false">INDEX(Perf_Batch!$C$65:$Q$65,3*(T$6-1)+T$7)</f>
        <v>521.0612736</v>
      </c>
      <c r="U61" s="96" t="n">
        <f aca="false">INDEX(Perf_Batch!$C$65:$Q$65,3*(U$6-1)+U$7)</f>
        <v>133.311744712704</v>
      </c>
      <c r="V61" s="96" t="n">
        <f aca="false">INDEX(Perf_Batch!$C$65:$Q$65,3*(V$6-1)+V$7)</f>
        <v>521.0612736</v>
      </c>
      <c r="W61" s="144" t="n">
        <f aca="false">Perf_Batch!R65</f>
        <v>133.311744712704</v>
      </c>
      <c r="X61" s="144" t="n">
        <f aca="false">Perf_Batch!S65</f>
        <v>521.0612736</v>
      </c>
      <c r="Y61" s="96" t="n">
        <f aca="false">INDEX(Perf_Batch!$C$65:$Q$65,3*(Y$6-1)+Y$7)</f>
        <v>133.311744712704</v>
      </c>
      <c r="Z61" s="96" t="n">
        <f aca="false">INDEX(Perf_Batch!$C$65:$Q$65,3*(Z$6-1)+Z$7)</f>
        <v>521.0612736</v>
      </c>
      <c r="AA61" s="96" t="n">
        <f aca="false">INDEX(Perf_Batch!$C$65:$Q$65,3*(AA$6-1)+AA$7)</f>
        <v>133.311744712704</v>
      </c>
      <c r="AB61" s="96" t="n">
        <f aca="false">INDEX(Perf_Batch!$C$65:$Q$65,3*(AB$6-1)+AB$7)</f>
        <v>521.0612736</v>
      </c>
      <c r="AC61" s="96" t="n">
        <f aca="false">INDEX(Perf_Batch!$C$65:$Q$65,3*(AC$6-1)+AC$7)</f>
        <v>133.311744712704</v>
      </c>
      <c r="AD61" s="96" t="n">
        <f aca="false">INDEX(Perf_Batch!$C$65:$Q$65,3*(AD$6-1)+AD$7)</f>
        <v>521.0612736</v>
      </c>
      <c r="AE61" s="96" t="n">
        <f aca="false">INDEX(Perf_Batch!$C$65:$Q$65,3*(AE$6-1)+AE$7)</f>
        <v>133.311744712704</v>
      </c>
      <c r="AF61" s="96" t="n">
        <f aca="false">INDEX(Perf_Batch!$C$65:$Q$65,3*(AF$6-1)+AF$7)</f>
        <v>521.0612736</v>
      </c>
      <c r="AG61" s="96" t="n">
        <f aca="false">INDEX(Perf_Batch!$C$65:$Q$65,3*(AG$6-1)+AG$7)</f>
        <v>133.311744712704</v>
      </c>
      <c r="AH61" s="96" t="n">
        <f aca="false">INDEX(Perf_Batch!$C$65:$Q$65,3*(AH$6-1)+AH$7)</f>
        <v>521.0612736</v>
      </c>
    </row>
    <row r="62" customFormat="false" ht="15" hidden="false" customHeight="false" outlineLevel="0" collapsed="false">
      <c r="A62" s="59" t="s">
        <v>1030</v>
      </c>
      <c r="B62" s="59" t="s">
        <v>481</v>
      </c>
      <c r="C62" s="96" t="n">
        <f aca="false">INDEX(Perf_Batch!$C$67:$Q$67,3*(C$6-1)+C$7)</f>
        <v>131.524870545408</v>
      </c>
      <c r="D62" s="96" t="n">
        <f aca="false">INDEX(Perf_Batch!$C$67:$Q$67,3*(D$6-1)+D$7)</f>
        <v>400.2653184</v>
      </c>
      <c r="E62" s="96" t="n">
        <f aca="false">INDEX(Perf_Batch!$C$67:$Q$67,3*(E$6-1)+E$7)</f>
        <v>131.524870545408</v>
      </c>
      <c r="F62" s="96" t="n">
        <f aca="false">INDEX(Perf_Batch!$C$67:$Q$67,3*(F$6-1)+F$7)</f>
        <v>400.2653184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131.524870545408</v>
      </c>
      <c r="J62" s="96" t="n">
        <f aca="false">INDEX(Perf_Batch!$C$67:$Q$67,3*(J$6-1)+J$7)</f>
        <v>400.2653184</v>
      </c>
      <c r="K62" s="96" t="n">
        <f aca="false">INDEX(Perf_Batch!$C$67:$Q$67,3*(K$6-1)+K$7)</f>
        <v>131.524870545408</v>
      </c>
      <c r="L62" s="96" t="n">
        <f aca="false">INDEX(Perf_Batch!$C$67:$Q$67,3*(L$6-1)+L$7)</f>
        <v>400.2653184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131.524870545408</v>
      </c>
      <c r="P62" s="96" t="n">
        <f aca="false">INDEX(Perf_Batch!$C$67:$Q$67,3*(P$6-1)+P$7)</f>
        <v>400.2653184</v>
      </c>
      <c r="Q62" s="96" t="n">
        <f aca="false">INDEX(Perf_Batch!$C$67:$Q$67,3*(Q$6-1)+Q$7)</f>
        <v>131.524870545408</v>
      </c>
      <c r="R62" s="96" t="n">
        <f aca="false">INDEX(Perf_Batch!$C$67:$Q$67,3*(R$6-1)+R$7)</f>
        <v>400.2653184</v>
      </c>
      <c r="S62" s="96" t="n">
        <f aca="false">INDEX(Perf_Batch!$C$67:$Q$67,3*(S$6-1)+S$7)</f>
        <v>131.524870545408</v>
      </c>
      <c r="T62" s="96" t="n">
        <f aca="false">INDEX(Perf_Batch!$C$67:$Q$67,3*(T$6-1)+T$7)</f>
        <v>400.2653184</v>
      </c>
      <c r="U62" s="96" t="n">
        <f aca="false">INDEX(Perf_Batch!$C$67:$Q$67,3*(U$6-1)+U$7)</f>
        <v>131.524870545408</v>
      </c>
      <c r="V62" s="96" t="n">
        <f aca="false">INDEX(Perf_Batch!$C$67:$Q$67,3*(V$6-1)+V$7)</f>
        <v>400.2653184</v>
      </c>
      <c r="W62" s="144" t="n">
        <f aca="false">Perf_Batch!R67</f>
        <v>131.524870545408</v>
      </c>
      <c r="X62" s="144" t="n">
        <f aca="false">Perf_Batch!S67</f>
        <v>400.2653184</v>
      </c>
      <c r="Y62" s="96" t="n">
        <f aca="false">INDEX(Perf_Batch!$C$67:$Q$67,3*(Y$6-1)+Y$7)</f>
        <v>131.524870545408</v>
      </c>
      <c r="Z62" s="96" t="n">
        <f aca="false">INDEX(Perf_Batch!$C$67:$Q$67,3*(Z$6-1)+Z$7)</f>
        <v>400.2653184</v>
      </c>
      <c r="AA62" s="96" t="n">
        <f aca="false">INDEX(Perf_Batch!$C$67:$Q$67,3*(AA$6-1)+AA$7)</f>
        <v>131.524870545408</v>
      </c>
      <c r="AB62" s="96" t="n">
        <f aca="false">INDEX(Perf_Batch!$C$67:$Q$67,3*(AB$6-1)+AB$7)</f>
        <v>400.2653184</v>
      </c>
      <c r="AC62" s="96" t="n">
        <f aca="false">INDEX(Perf_Batch!$C$67:$Q$67,3*(AC$6-1)+AC$7)</f>
        <v>131.524870545408</v>
      </c>
      <c r="AD62" s="96" t="n">
        <f aca="false">INDEX(Perf_Batch!$C$67:$Q$67,3*(AD$6-1)+AD$7)</f>
        <v>400.2653184</v>
      </c>
      <c r="AE62" s="96" t="n">
        <f aca="false">INDEX(Perf_Batch!$C$67:$Q$67,3*(AE$6-1)+AE$7)</f>
        <v>131.524870545408</v>
      </c>
      <c r="AF62" s="96" t="n">
        <f aca="false">INDEX(Perf_Batch!$C$67:$Q$67,3*(AF$6-1)+AF$7)</f>
        <v>400.2653184</v>
      </c>
      <c r="AG62" s="96" t="n">
        <f aca="false">INDEX(Perf_Batch!$C$67:$Q$67,3*(AG$6-1)+AG$7)</f>
        <v>131.524870545408</v>
      </c>
      <c r="AH62" s="96" t="n">
        <f aca="false">INDEX(Perf_Batch!$C$67:$Q$67,3*(AH$6-1)+AH$7)</f>
        <v>400.2653184</v>
      </c>
    </row>
    <row r="63" customFormat="false" ht="15" hidden="false" customHeight="false" outlineLevel="0" collapsed="false">
      <c r="A63" s="59" t="s">
        <v>1031</v>
      </c>
      <c r="B63" s="59" t="s">
        <v>97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  <c r="R63" s="95" t="n">
        <f aca="false">Tech_Registry!$E$28</f>
        <v>1</v>
      </c>
      <c r="S63" s="95" t="n">
        <f aca="false">Tech_Registry!$E$28</f>
        <v>1</v>
      </c>
      <c r="T63" s="95" t="n">
        <f aca="false">Tech_Registry!$E$28</f>
        <v>1</v>
      </c>
      <c r="U63" s="95" t="n">
        <f aca="false">Tech_Registry!$E$28</f>
        <v>1</v>
      </c>
      <c r="V63" s="95" t="n">
        <f aca="false">Tech_Registry!$E$28</f>
        <v>1</v>
      </c>
      <c r="W63" s="95" t="n">
        <f aca="false">Tech_Registry!$E$28</f>
        <v>1</v>
      </c>
      <c r="X63" s="95" t="n">
        <f aca="false">Tech_Registry!$E$28</f>
        <v>1</v>
      </c>
      <c r="Y63" s="95" t="n">
        <f aca="false">Tech_Registry!$E$28</f>
        <v>1</v>
      </c>
      <c r="Z63" s="95" t="n">
        <f aca="false">Tech_Registry!$E$28</f>
        <v>1</v>
      </c>
      <c r="AA63" s="95" t="n">
        <f aca="false">Tech_Registry!$E$28</f>
        <v>1</v>
      </c>
      <c r="AB63" s="95" t="n">
        <f aca="false">Tech_Registry!$E$28</f>
        <v>1</v>
      </c>
      <c r="AC63" s="95" t="n">
        <f aca="false">Tech_Registry!$E$28</f>
        <v>1</v>
      </c>
      <c r="AD63" s="95" t="n">
        <f aca="false">Tech_Registry!$E$28</f>
        <v>1</v>
      </c>
      <c r="AE63" s="95" t="n">
        <f aca="false">Tech_Registry!$E$28</f>
        <v>1</v>
      </c>
      <c r="AF63" s="95" t="n">
        <f aca="false">Tech_Registry!$E$28</f>
        <v>1</v>
      </c>
      <c r="AG63" s="95" t="n">
        <f aca="false">Tech_Registry!$E$28</f>
        <v>1</v>
      </c>
      <c r="AH63" s="95" t="n">
        <f aca="false">Tech_Registry!$E$28</f>
        <v>1</v>
      </c>
    </row>
    <row r="64" customFormat="false" ht="15" hidden="false" customHeight="false" outlineLevel="0" collapsed="false">
      <c r="A64" s="59" t="s">
        <v>1032</v>
      </c>
      <c r="B64" s="59" t="s">
        <v>93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59" t="s">
        <v>1033</v>
      </c>
      <c r="B65" s="59" t="s">
        <v>1010</v>
      </c>
      <c r="C65" s="65" t="n">
        <f aca="false">IF(AND(ISNUMBER(C59)),(C53*1000000*C59+C58*1000000*C60)/3600/C64,"SLO 不可達")</f>
        <v>192233.176009909</v>
      </c>
      <c r="D65" s="65" t="n">
        <f aca="false">IF(AND(ISNUMBER(D59)),(D53*1000000*D59+D58*1000000*D60)/3600/D64,"SLO 不可達")</f>
        <v>3332012.23278618</v>
      </c>
      <c r="E65" s="65" t="n">
        <f aca="false">IF(AND(ISNUMBER(E59)),(E53*1000000*E59+E58*1000000*E60)/3600/E64,"SLO 不可達")</f>
        <v>192233.176009909</v>
      </c>
      <c r="F65" s="65" t="n">
        <f aca="false">IF(AND(ISNUMBER(F59)),(F53*1000000*F59+F58*1000000*F60)/3600/F64,"SLO 不可達")</f>
        <v>3332012.23278618</v>
      </c>
      <c r="G65" s="65" t="n">
        <f aca="false">IF(AND(ISNUMBER(G59)),(G53*1000000*G59+G58*1000000*G60)/3600/G64,"SLO 不可達")</f>
        <v>192233.176009909</v>
      </c>
      <c r="H65" s="65" t="n">
        <f aca="false">IF(AND(ISNUMBER(H59)),(H53*1000000*H59+H58*1000000*H60)/3600/H64,"SLO 不可達")</f>
        <v>3332012.23278618</v>
      </c>
      <c r="I65" s="65" t="n">
        <f aca="false">IF(AND(ISNUMBER(I59)),(I53*1000000*I59+I58*1000000*I60)/3600/I64,"SLO 不可達")</f>
        <v>192233.176009909</v>
      </c>
      <c r="J65" s="65" t="n">
        <f aca="false">IF(AND(ISNUMBER(J59)),(J53*1000000*J59+J58*1000000*J60)/3600/J64,"SLO 不可達")</f>
        <v>3332012.23278618</v>
      </c>
      <c r="K65" s="65" t="n">
        <f aca="false">IF(AND(ISNUMBER(K59)),(K53*1000000*K59+K58*1000000*K60)/3600/K64,"SLO 不可達")</f>
        <v>192233.176009909</v>
      </c>
      <c r="L65" s="65" t="n">
        <f aca="false">IF(AND(ISNUMBER(L59)),(L53*1000000*L59+L58*1000000*L60)/3600/L64,"SLO 不可達")</f>
        <v>3332012.23278618</v>
      </c>
      <c r="M65" s="65" t="n">
        <f aca="false">IF(AND(ISNUMBER(M59)),(M53*1000000*M59+M58*1000000*M60)/3600/M64,"SLO 不可達")</f>
        <v>192233.176009909</v>
      </c>
      <c r="N65" s="65" t="n">
        <f aca="false">IF(AND(ISNUMBER(N59)),(N53*1000000*N59+N58*1000000*N60)/3600/N64,"SLO 不可達")</f>
        <v>3332012.23278618</v>
      </c>
      <c r="O65" s="65" t="n">
        <f aca="false">IF(AND(ISNUMBER(O59)),(O53*1000000*O59+O58*1000000*O60)/3600/O64,"SLO 不可達")</f>
        <v>57669.9528029726</v>
      </c>
      <c r="P65" s="65" t="n">
        <f aca="false">IF(AND(ISNUMBER(P59)),(P53*1000000*P59+P58*1000000*P60)/3600/P64,"SLO 不可達")</f>
        <v>999603.669835855</v>
      </c>
      <c r="Q65" s="65" t="n">
        <f aca="false">IF(AND(ISNUMBER(Q59)),(Q53*1000000*Q59+Q58*1000000*Q60)/3600/Q64,"SLO 不可達")</f>
        <v>576699.528029727</v>
      </c>
      <c r="R65" s="65" t="n">
        <f aca="false">IF(AND(ISNUMBER(R59)),(R53*1000000*R59+R58*1000000*R60)/3600/R64,"SLO 不可達")</f>
        <v>9996036.69835855</v>
      </c>
      <c r="S65" s="65" t="n">
        <f aca="false">IF(AND(ISNUMBER(S59)),(S53*1000000*S59+S58*1000000*S60)/3600/S64,"SLO 不可達")</f>
        <v>272330.332680704</v>
      </c>
      <c r="T65" s="65" t="n">
        <f aca="false">IF(AND(ISNUMBER(T59)),(T53*1000000*T59+T58*1000000*T60)/3600/T64,"SLO 不可達")</f>
        <v>4720350.66311376</v>
      </c>
      <c r="U65" s="65" t="n">
        <f aca="false">IF(AND(ISNUMBER(U59)),(U53*1000000*U59+U58*1000000*U60)/3600/U64,"SLO 不可達")</f>
        <v>171998.104850971</v>
      </c>
      <c r="V65" s="65" t="n">
        <f aca="false">IF(AND(ISNUMBER(V59)),(V53*1000000*V59+V58*1000000*V60)/3600/V64,"SLO 不可達")</f>
        <v>2981274.10301922</v>
      </c>
      <c r="W65" s="65" t="n">
        <f aca="false">IF(AND(ISNUMBER(W59)),(W53*1000000*W59+W58*1000000*W60)/3600/W64,"SLO 不可達")</f>
        <v>290998.167186332</v>
      </c>
      <c r="X65" s="65" t="n">
        <f aca="false">IF(AND(ISNUMBER(X59)),(X53*1000000*X59+X58*1000000*X60)/3600/X64,"SLO 不可達")</f>
        <v>5069926.93360148</v>
      </c>
      <c r="Y65" s="65" t="n">
        <f aca="false">IF(AND(ISNUMBER(Y59)),(Y53*1000000*Y59+Y58*1000000*Y60)/3600/Y64,"SLO 不可達")</f>
        <v>192233.176009909</v>
      </c>
      <c r="Z65" s="65" t="n">
        <f aca="false">IF(AND(ISNUMBER(Z59)),(Z53*1000000*Z59+Z58*1000000*Z60)/3600/Z64,"SLO 不可達")</f>
        <v>3332012.23278618</v>
      </c>
      <c r="AA65" s="65" t="n">
        <f aca="false">IF(AND(ISNUMBER(AA59)),(AA53*1000000*AA59+AA58*1000000*AA60)/3600/AA64,"SLO 不可達")</f>
        <v>192233.176009909</v>
      </c>
      <c r="AB65" s="65" t="n">
        <f aca="false">IF(AND(ISNUMBER(AB59)),(AB53*1000000*AB59+AB58*1000000*AB60)/3600/AB64,"SLO 不可達")</f>
        <v>3332012.23278618</v>
      </c>
      <c r="AC65" s="65" t="n">
        <f aca="false">IF(AND(ISNUMBER(AC59)),(AC53*1000000*AC59+AC58*1000000*AC60)/3600/AC64,"SLO 不可達")</f>
        <v>192233.176009909</v>
      </c>
      <c r="AD65" s="65" t="n">
        <f aca="false">IF(AND(ISNUMBER(AD59)),(AD53*1000000*AD59+AD58*1000000*AD60)/3600/AD64,"SLO 不可達")</f>
        <v>3332012.23278618</v>
      </c>
      <c r="AE65" s="65" t="n">
        <f aca="false">IF(AND(ISNUMBER(AE59)),(AE53*1000000*AE59+AE58*1000000*AE60)/3600/AE64,"SLO 不可達")</f>
        <v>192233.176009909</v>
      </c>
      <c r="AF65" s="65" t="n">
        <f aca="false">IF(AND(ISNUMBER(AF59)),(AF53*1000000*AF59+AF58*1000000*AF60)/3600/AF64,"SLO 不可達")</f>
        <v>3332012.23278618</v>
      </c>
      <c r="AG65" s="65" t="n">
        <f aca="false">IF(AND(ISNUMBER(AG59)),(AG53*1000000*AG59+AG58*1000000*AG60)/3600/AG64,"SLO 不可達")</f>
        <v>192233.176009909</v>
      </c>
      <c r="AH65" s="65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59" t="s">
        <v>1034</v>
      </c>
      <c r="B66" s="59" t="s">
        <v>301</v>
      </c>
      <c r="C66" s="142" t="n">
        <f aca="false">C53*1000000000000*C61*1000000000+C58*1000000000000*C62*1000000000</f>
        <v>3.24315676724705E+023</v>
      </c>
      <c r="D66" s="142" t="n">
        <f aca="false">D53*1000000000000*D61*1000000000+D58*1000000000000*D62*1000000000</f>
        <v>5.12226782208E+024</v>
      </c>
      <c r="E66" s="142" t="n">
        <f aca="false">E53*1000000000000*E61*1000000000+E58*1000000000000*E62*1000000000</f>
        <v>3.24315676724705E+023</v>
      </c>
      <c r="F66" s="142" t="n">
        <f aca="false">F53*1000000000000*F61*1000000000+F58*1000000000000*F62*1000000000</f>
        <v>5.12226782208E+024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3.24315676724705E+023</v>
      </c>
      <c r="J66" s="142" t="n">
        <f aca="false">J53*1000000000000*J61*1000000000+J58*1000000000000*J62*1000000000</f>
        <v>5.12226782208E+024</v>
      </c>
      <c r="K66" s="142" t="n">
        <f aca="false">K53*1000000000000*K61*1000000000+K58*1000000000000*K62*1000000000</f>
        <v>3.24315676724705E+023</v>
      </c>
      <c r="L66" s="142" t="n">
        <f aca="false">L53*1000000000000*L61*1000000000+L58*1000000000000*L62*1000000000</f>
        <v>5.12226782208E+024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9.72947030174116E+022</v>
      </c>
      <c r="P66" s="142" t="n">
        <f aca="false">P53*1000000000000*P61*1000000000+P58*1000000000000*P62*1000000000</f>
        <v>1.536680346624E+024</v>
      </c>
      <c r="Q66" s="142" t="n">
        <f aca="false">Q53*1000000000000*Q61*1000000000+Q58*1000000000000*Q62*1000000000</f>
        <v>9.72947030174116E+023</v>
      </c>
      <c r="R66" s="142" t="n">
        <f aca="false">R53*1000000000000*R61*1000000000+R58*1000000000000*R62*1000000000</f>
        <v>1.536680346624E+025</v>
      </c>
      <c r="S66" s="142" t="n">
        <f aca="false">S53*1000000000000*S61*1000000000+S58*1000000000000*S62*1000000000</f>
        <v>3.24315676724705E+023</v>
      </c>
      <c r="T66" s="142" t="n">
        <f aca="false">T53*1000000000000*T61*1000000000+T58*1000000000000*T62*1000000000</f>
        <v>5.12226782208E+024</v>
      </c>
      <c r="U66" s="142" t="n">
        <f aca="false">U53*1000000000000*U61*1000000000+U58*1000000000000*U62*1000000000</f>
        <v>3.24315676724705E+023</v>
      </c>
      <c r="V66" s="142" t="n">
        <f aca="false">V53*1000000000000*V61*1000000000+V58*1000000000000*V62*1000000000</f>
        <v>5.12226782208E+024</v>
      </c>
      <c r="W66" s="142" t="n">
        <f aca="false">W53*1000000000000*W61*1000000000+W58*1000000000000*W62*1000000000</f>
        <v>3.24315676724705E+023</v>
      </c>
      <c r="X66" s="142" t="n">
        <f aca="false">X53*1000000000000*X61*1000000000+X58*1000000000000*X62*1000000000</f>
        <v>5.12226782208E+024</v>
      </c>
      <c r="Y66" s="142" t="n">
        <f aca="false">Y53*1000000000000*Y61*1000000000+Y58*1000000000000*Y62*1000000000</f>
        <v>3.24315676724705E+023</v>
      </c>
      <c r="Z66" s="142" t="n">
        <f aca="false">Z53*1000000000000*Z61*1000000000+Z58*1000000000000*Z62*1000000000</f>
        <v>5.12226782208E+024</v>
      </c>
      <c r="AA66" s="142" t="n">
        <f aca="false">AA53*1000000000000*AA61*1000000000+AA58*1000000000000*AA62*1000000000</f>
        <v>3.24315676724705E+023</v>
      </c>
      <c r="AB66" s="142" t="n">
        <f aca="false">AB53*1000000000000*AB61*1000000000+AB58*1000000000000*AB62*1000000000</f>
        <v>5.12226782208E+024</v>
      </c>
      <c r="AC66" s="142" t="n">
        <f aca="false">AC53*1000000000000*AC61*1000000000+AC58*1000000000000*AC62*1000000000</f>
        <v>3.24315676724705E+023</v>
      </c>
      <c r="AD66" s="142" t="n">
        <f aca="false">AD53*1000000000000*AD61*1000000000+AD58*1000000000000*AD62*1000000000</f>
        <v>5.12226782208E+024</v>
      </c>
      <c r="AE66" s="142" t="n">
        <f aca="false">AE53*1000000000000*AE61*1000000000+AE58*1000000000000*AE62*1000000000</f>
        <v>3.24315676724705E+023</v>
      </c>
      <c r="AF66" s="142" t="n">
        <f aca="false">AF53*1000000000000*AF61*1000000000+AF58*1000000000000*AF62*1000000000</f>
        <v>5.12226782208E+024</v>
      </c>
      <c r="AG66" s="142" t="n">
        <f aca="false">AG53*1000000000000*AG61*1000000000+AG58*1000000000000*AG62*1000000000</f>
        <v>3.24315676724705E+023</v>
      </c>
      <c r="AH66" s="14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9" t="s">
        <v>1035</v>
      </c>
      <c r="B67" s="59" t="s">
        <v>942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59" t="s">
        <v>1036</v>
      </c>
      <c r="B68" s="59" t="s">
        <v>279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9" t="s">
        <v>1037</v>
      </c>
      <c r="B69" s="59" t="s">
        <v>481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59" t="s">
        <v>1038</v>
      </c>
      <c r="B70" s="59" t="s">
        <v>301</v>
      </c>
      <c r="C70" s="142" t="n">
        <f aca="false">C69*1000000000*C67*1000000000000</f>
        <v>1.41301010036736E+024</v>
      </c>
      <c r="D70" s="142" t="n">
        <f aca="false">D69*1000000000*D67*1000000000000</f>
        <v>2.077038526464E+025</v>
      </c>
      <c r="E70" s="142" t="n">
        <f aca="false">E69*1000000000*E67*1000000000000</f>
        <v>1.41301010036736E+024</v>
      </c>
      <c r="F70" s="142" t="n">
        <f aca="false">F69*1000000000*F67*1000000000000</f>
        <v>2.077038526464E+025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1.41301010036736E+024</v>
      </c>
      <c r="J70" s="142" t="n">
        <f aca="false">J69*1000000000*J67*1000000000000</f>
        <v>2.077038526464E+025</v>
      </c>
      <c r="K70" s="142" t="n">
        <f aca="false">K69*1000000000*K67*1000000000000</f>
        <v>1.41301010036736E+024</v>
      </c>
      <c r="L70" s="142" t="n">
        <f aca="false">L69*1000000000*L67*1000000000000</f>
        <v>2.077038526464E+025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4.23903030110208E+023</v>
      </c>
      <c r="P70" s="142" t="n">
        <f aca="false">P69*1000000000*P67*1000000000000</f>
        <v>6.231115579392E+024</v>
      </c>
      <c r="Q70" s="142" t="n">
        <f aca="false">Q69*1000000000*Q67*1000000000000</f>
        <v>4.23903030110208E+024</v>
      </c>
      <c r="R70" s="142" t="n">
        <f aca="false">R69*1000000000*R67*1000000000000</f>
        <v>6.231115579392E+025</v>
      </c>
      <c r="S70" s="142" t="n">
        <f aca="false">S69*1000000000*S67*1000000000000</f>
        <v>1.41301010036736E+024</v>
      </c>
      <c r="T70" s="142" t="n">
        <f aca="false">T69*1000000000*T67*1000000000000</f>
        <v>2.077038526464E+025</v>
      </c>
      <c r="U70" s="142" t="n">
        <f aca="false">U69*1000000000*U67*1000000000000</f>
        <v>1.41301010036736E+024</v>
      </c>
      <c r="V70" s="142" t="n">
        <f aca="false">V69*1000000000*V67*1000000000000</f>
        <v>2.077038526464E+025</v>
      </c>
      <c r="W70" s="142" t="n">
        <f aca="false">W69*1000000000*W67*1000000000000</f>
        <v>1.41301010036736E+024</v>
      </c>
      <c r="X70" s="142" t="n">
        <f aca="false">X69*1000000000*X67*1000000000000</f>
        <v>2.077038526464E+025</v>
      </c>
      <c r="Y70" s="142" t="n">
        <f aca="false">Y69*1000000000*Y67*1000000000000</f>
        <v>1.41301010036736E+024</v>
      </c>
      <c r="Z70" s="142" t="n">
        <f aca="false">Z69*1000000000*Z67*1000000000000</f>
        <v>2.077038526464E+025</v>
      </c>
      <c r="AA70" s="142" t="n">
        <f aca="false">AA69*1000000000*AA67*1000000000000</f>
        <v>1.41301010036736E+024</v>
      </c>
      <c r="AB70" s="142" t="n">
        <f aca="false">AB69*1000000000*AB67*1000000000000</f>
        <v>2.077038526464E+025</v>
      </c>
      <c r="AC70" s="142" t="n">
        <f aca="false">AC69*1000000000*AC67*1000000000000</f>
        <v>1.41301010036736E+024</v>
      </c>
      <c r="AD70" s="142" t="n">
        <f aca="false">AD69*1000000000*AD67*1000000000000</f>
        <v>2.077038526464E+025</v>
      </c>
      <c r="AE70" s="142" t="n">
        <f aca="false">AE69*1000000000*AE67*1000000000000</f>
        <v>1.41301010036736E+024</v>
      </c>
      <c r="AF70" s="142" t="n">
        <f aca="false">AF69*1000000000*AF67*1000000000000</f>
        <v>2.077038526464E+025</v>
      </c>
      <c r="AG70" s="142" t="n">
        <f aca="false">AG69*1000000000*AG67*1000000000000</f>
        <v>1.41301010036736E+024</v>
      </c>
      <c r="AH70" s="142" t="n">
        <f aca="false">AH69*1000000000*AH67*1000000000000</f>
        <v>2.077038526464E+025</v>
      </c>
    </row>
    <row r="71" customFormat="false" ht="15" hidden="false" customHeight="false" outlineLevel="0" collapsed="false">
      <c r="A71" s="59" t="s">
        <v>1039</v>
      </c>
      <c r="B71" s="59" t="s">
        <v>97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  <c r="R71" s="95" t="n">
        <f aca="false">Train_In!$C$9</f>
        <v>0.6</v>
      </c>
      <c r="S71" s="95" t="n">
        <f aca="false">Train_In!$C$9</f>
        <v>0.6</v>
      </c>
      <c r="T71" s="95" t="n">
        <f aca="false">Train_In!$C$9</f>
        <v>0.6</v>
      </c>
      <c r="U71" s="95" t="n">
        <f aca="false">Train_In!$C$9</f>
        <v>0.6</v>
      </c>
      <c r="V71" s="95" t="n">
        <f aca="false">Train_In!$C$9</f>
        <v>0.6</v>
      </c>
      <c r="W71" s="95" t="n">
        <f aca="false">Train_In!$C$9</f>
        <v>0.6</v>
      </c>
      <c r="X71" s="95" t="n">
        <f aca="false">Train_In!$C$9</f>
        <v>0.6</v>
      </c>
      <c r="Y71" s="95" t="n">
        <f aca="false">Train_In!$C$9</f>
        <v>0.6</v>
      </c>
      <c r="Z71" s="95" t="n">
        <f aca="false">Train_In!$C$9</f>
        <v>0.6</v>
      </c>
      <c r="AA71" s="95" t="n">
        <f aca="false">Train_In!$C$9</f>
        <v>0.6</v>
      </c>
      <c r="AB71" s="95" t="n">
        <f aca="false">Train_In!$C$9</f>
        <v>0.6</v>
      </c>
      <c r="AC71" s="95" t="n">
        <f aca="false">Train_In!$C$9</f>
        <v>0.6</v>
      </c>
      <c r="AD71" s="95" t="n">
        <f aca="false">Train_In!$C$9</f>
        <v>0.6</v>
      </c>
      <c r="AE71" s="95" t="n">
        <f aca="false">Train_In!$C$9</f>
        <v>0.6</v>
      </c>
      <c r="AF71" s="95" t="n">
        <f aca="false">Train_In!$C$9</f>
        <v>0.6</v>
      </c>
      <c r="AG71" s="95" t="n">
        <f aca="false">Train_In!$C$9</f>
        <v>0.6</v>
      </c>
      <c r="AH71" s="95" t="n">
        <f aca="false">Train_In!$C$9</f>
        <v>0.6</v>
      </c>
    </row>
    <row r="72" customFormat="false" ht="15" hidden="false" customHeight="false" outlineLevel="0" collapsed="false">
      <c r="A72" s="59" t="s">
        <v>1040</v>
      </c>
      <c r="B72" s="59" t="s">
        <v>1010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1041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  <c r="R73" s="87" t="n">
        <f aca="false">Train_In!$C$10</f>
        <v>0</v>
      </c>
      <c r="S73" s="87" t="n">
        <f aca="false">Train_In!$C$10</f>
        <v>0</v>
      </c>
      <c r="T73" s="87" t="n">
        <f aca="false">Train_In!$C$10</f>
        <v>0</v>
      </c>
      <c r="U73" s="87" t="n">
        <f aca="false">Train_In!$C$10</f>
        <v>0</v>
      </c>
      <c r="V73" s="87" t="n">
        <f aca="false">Train_In!$C$10</f>
        <v>0</v>
      </c>
      <c r="W73" s="87" t="n">
        <f aca="false">Train_In!$C$10</f>
        <v>0</v>
      </c>
      <c r="X73" s="87" t="n">
        <f aca="false">Train_In!$C$10</f>
        <v>0</v>
      </c>
      <c r="Y73" s="87" t="n">
        <f aca="false">Train_In!$C$10</f>
        <v>0</v>
      </c>
      <c r="Z73" s="87" t="n">
        <f aca="false">Train_In!$C$10</f>
        <v>0</v>
      </c>
      <c r="AA73" s="87" t="n">
        <f aca="false">Train_In!$C$10</f>
        <v>0</v>
      </c>
      <c r="AB73" s="87" t="n">
        <f aca="false">Train_In!$C$10</f>
        <v>0</v>
      </c>
      <c r="AC73" s="87" t="n">
        <f aca="false">Train_In!$C$10</f>
        <v>0</v>
      </c>
      <c r="AD73" s="87" t="n">
        <f aca="false">Train_In!$C$10</f>
        <v>0</v>
      </c>
      <c r="AE73" s="87" t="n">
        <f aca="false">Train_In!$C$10</f>
        <v>0</v>
      </c>
      <c r="AF73" s="87" t="n">
        <f aca="false">Train_In!$C$10</f>
        <v>0</v>
      </c>
      <c r="AG73" s="87" t="n">
        <f aca="false">Train_In!$C$10</f>
        <v>0</v>
      </c>
      <c r="AH73" s="87" t="n">
        <f aca="false">Train_In!$C$10</f>
        <v>0</v>
      </c>
    </row>
    <row r="74" customFormat="false" ht="15" hidden="false" customHeight="false" outlineLevel="0" collapsed="false">
      <c r="A74" s="58" t="s">
        <v>1042</v>
      </c>
      <c r="B74" s="59" t="s">
        <v>1010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59" t="s">
        <v>1043</v>
      </c>
      <c r="B75" s="59" t="s">
        <v>1010</v>
      </c>
      <c r="C75" s="68" t="n">
        <f aca="false">IF(AND(ISNUMBER(C65)),C65+C72+C74,"SLO 不可達")</f>
        <v>376831.791251579</v>
      </c>
      <c r="D75" s="68" t="n">
        <f aca="false">IF(AND(ISNUMBER(D65)),D65+D72+D74,"SLO 不可達")</f>
        <v>6045499.10516714</v>
      </c>
      <c r="E75" s="68" t="n">
        <f aca="false">IF(AND(ISNUMBER(E65)),E65+E72+E74,"SLO 不可達")</f>
        <v>499897.534746025</v>
      </c>
      <c r="F75" s="68" t="n">
        <f aca="false">IF(AND(ISNUMBER(F65)),F65+F72+F74,"SLO 不可達")</f>
        <v>7854490.3534211</v>
      </c>
      <c r="G75" s="68" t="n">
        <f aca="false">IF(AND(ISNUMBER(G65)),G65+G72+G74,"SLO 不可達")</f>
        <v>307607.310535952</v>
      </c>
      <c r="H75" s="68" t="n">
        <f aca="false">IF(AND(ISNUMBER(H65)),H65+H72+H74,"SLO 不可達")</f>
        <v>5027941.52802428</v>
      </c>
      <c r="I75" s="68" t="n">
        <f aca="false">IF(AND(ISNUMBER(I65)),I65+I72+I74,"SLO 不可達")</f>
        <v>284532.483630744</v>
      </c>
      <c r="J75" s="68" t="n">
        <f aca="false">IF(AND(ISNUMBER(J65)),J65+J72+J74,"SLO 不可達")</f>
        <v>4688755.66897666</v>
      </c>
      <c r="K75" s="68" t="n">
        <f aca="false">IF(AND(ISNUMBER(K65)),K65+K72+K74,"SLO 不可達")</f>
        <v>376831.791251579</v>
      </c>
      <c r="L75" s="68" t="n">
        <f aca="false">IF(AND(ISNUMBER(L65)),L65+L72+L74,"SLO 不可達")</f>
        <v>6045499.10516714</v>
      </c>
      <c r="M75" s="68" t="n">
        <f aca="false">IF(AND(ISNUMBER(M65)),M65+M72+M74,"SLO 不可達")</f>
        <v>376831.791251579</v>
      </c>
      <c r="N75" s="68" t="n">
        <f aca="false">IF(AND(ISNUMBER(N65)),N65+N72+N74,"SLO 不可達")</f>
        <v>6045499.10516714</v>
      </c>
      <c r="O75" s="68" t="n">
        <f aca="false">IF(AND(ISNUMBER(O65)),O65+O72+O74,"SLO 不可達")</f>
        <v>113049.537375474</v>
      </c>
      <c r="P75" s="68" t="n">
        <f aca="false">IF(AND(ISNUMBER(P65)),P65+P72+P74,"SLO 不可達")</f>
        <v>1813649.73155014</v>
      </c>
      <c r="Q75" s="68" t="n">
        <f aca="false">IF(AND(ISNUMBER(Q65)),Q65+Q72+Q74,"SLO 不可達")</f>
        <v>1130495.37375474</v>
      </c>
      <c r="R75" s="68" t="n">
        <f aca="false">IF(AND(ISNUMBER(R65)),R65+R72+R74,"SLO 不可達")</f>
        <v>18136497.3155014</v>
      </c>
      <c r="S75" s="68" t="n">
        <f aca="false">IF(AND(ISNUMBER(S65)),S65+S72+S74,"SLO 不可達")</f>
        <v>456928.947922374</v>
      </c>
      <c r="T75" s="68" t="n">
        <f aca="false">IF(AND(ISNUMBER(T65)),T65+T72+T74,"SLO 不可達")</f>
        <v>7433837.53549471</v>
      </c>
      <c r="U75" s="68" t="n">
        <f aca="false">IF(AND(ISNUMBER(U65)),U65+U72+U74,"SLO 不可達")</f>
        <v>356596.720092641</v>
      </c>
      <c r="V75" s="68" t="n">
        <f aca="false">IF(AND(ISNUMBER(V65)),V65+V72+V74,"SLO 不可達")</f>
        <v>5694760.97540017</v>
      </c>
      <c r="W75" s="68" t="n">
        <f aca="false">IF(AND(ISNUMBER(W65)),W65+W72+W74,"SLO 不可達")</f>
        <v>475596.782428002</v>
      </c>
      <c r="X75" s="68" t="n">
        <f aca="false">IF(AND(ISNUMBER(X65)),X65+X72+X74,"SLO 不可達")</f>
        <v>7783413.80598243</v>
      </c>
      <c r="Y75" s="68" t="n">
        <f aca="false">IF(AND(ISNUMBER(Y65)),Y65+Y72+Y74,"SLO 不可達")</f>
        <v>376831.791251579</v>
      </c>
      <c r="Z75" s="68" t="n">
        <f aca="false">IF(AND(ISNUMBER(Z65)),Z65+Z72+Z74,"SLO 不可達")</f>
        <v>6045499.10516714</v>
      </c>
      <c r="AA75" s="68" t="n">
        <f aca="false">IF(AND(ISNUMBER(AA65)),AA65+AA72+AA74,"SLO 不可達")</f>
        <v>376831.791251579</v>
      </c>
      <c r="AB75" s="68" t="n">
        <f aca="false">IF(AND(ISNUMBER(AB65)),AB65+AB72+AB74,"SLO 不可達")</f>
        <v>6045499.10516714</v>
      </c>
      <c r="AC75" s="68" t="n">
        <f aca="false">IF(AND(ISNUMBER(AC65)),AC65+AC72+AC74,"SLO 不可達")</f>
        <v>376831.791251579</v>
      </c>
      <c r="AD75" s="68" t="n">
        <f aca="false">IF(AND(ISNUMBER(AD65)),AD65+AD72+AD74,"SLO 不可達")</f>
        <v>6045499.10516714</v>
      </c>
      <c r="AE75" s="68" t="n">
        <f aca="false">IF(AND(ISNUMBER(AE65)),AE65+AE72+AE74,"SLO 不可達")</f>
        <v>376831.791251579</v>
      </c>
      <c r="AF75" s="68" t="n">
        <f aca="false">IF(AND(ISNUMBER(AF65)),AF65+AF72+AF74,"SLO 不可達")</f>
        <v>6045499.10516714</v>
      </c>
      <c r="AG75" s="68" t="n">
        <f aca="false">IF(AND(ISNUMBER(AG65)),AG65+AG72+AG74,"SLO 不可達")</f>
        <v>399906.618156787</v>
      </c>
      <c r="AH75" s="68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59" t="s">
        <v>1044</v>
      </c>
      <c r="B76" s="59" t="s">
        <v>301</v>
      </c>
      <c r="C76" s="142" t="n">
        <f aca="false">C66+C70*(1+C73/3)</f>
        <v>1.73732577709207E+024</v>
      </c>
      <c r="D76" s="142" t="n">
        <f aca="false">D66+D70*(1+D73/3)</f>
        <v>2.589265308672E+025</v>
      </c>
      <c r="E76" s="142" t="n">
        <f aca="false">E66+E70*(1+E73/3)</f>
        <v>1.73732577709207E+024</v>
      </c>
      <c r="F76" s="142" t="n">
        <f aca="false">F66+F70*(1+F73/3)</f>
        <v>2.589265308672E+025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1.73732577709207E+024</v>
      </c>
      <c r="J76" s="142" t="n">
        <f aca="false">J66+J70*(1+J73/3)</f>
        <v>2.589265308672E+025</v>
      </c>
      <c r="K76" s="142" t="n">
        <f aca="false">K66+K70*(1+K73/3)</f>
        <v>1.73732577709207E+024</v>
      </c>
      <c r="L76" s="142" t="n">
        <f aca="false">L66+L70*(1+L73/3)</f>
        <v>2.589265308672E+025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5.2119773312762E+023</v>
      </c>
      <c r="P76" s="142" t="n">
        <f aca="false">P66+P70*(1+P73/3)</f>
        <v>7.767795926016E+024</v>
      </c>
      <c r="Q76" s="142" t="n">
        <f aca="false">Q66+Q70*(1+Q73/3)</f>
        <v>5.2119773312762E+024</v>
      </c>
      <c r="R76" s="142" t="n">
        <f aca="false">R66+R70*(1+R73/3)</f>
        <v>7.767795926016E+025</v>
      </c>
      <c r="S76" s="142" t="n">
        <f aca="false">S66+S70*(1+S73/3)</f>
        <v>1.73732577709207E+024</v>
      </c>
      <c r="T76" s="142" t="n">
        <f aca="false">T66+T70*(1+T73/3)</f>
        <v>2.589265308672E+025</v>
      </c>
      <c r="U76" s="142" t="n">
        <f aca="false">U66+U70*(1+U73/3)</f>
        <v>1.73732577709207E+024</v>
      </c>
      <c r="V76" s="142" t="n">
        <f aca="false">V66+V70*(1+V73/3)</f>
        <v>2.589265308672E+025</v>
      </c>
      <c r="W76" s="142" t="n">
        <f aca="false">W66+W70*(1+W73/3)</f>
        <v>1.73732577709207E+024</v>
      </c>
      <c r="X76" s="142" t="n">
        <f aca="false">X66+X70*(1+X73/3)</f>
        <v>2.589265308672E+025</v>
      </c>
      <c r="Y76" s="142" t="n">
        <f aca="false">Y66+Y70*(1+Y73/3)</f>
        <v>1.73732577709207E+024</v>
      </c>
      <c r="Z76" s="142" t="n">
        <f aca="false">Z66+Z70*(1+Z73/3)</f>
        <v>2.589265308672E+025</v>
      </c>
      <c r="AA76" s="142" t="n">
        <f aca="false">AA66+AA70*(1+AA73/3)</f>
        <v>1.73732577709207E+024</v>
      </c>
      <c r="AB76" s="142" t="n">
        <f aca="false">AB66+AB70*(1+AB73/3)</f>
        <v>2.589265308672E+025</v>
      </c>
      <c r="AC76" s="142" t="n">
        <f aca="false">AC66+AC70*(1+AC73/3)</f>
        <v>1.73732577709207E+024</v>
      </c>
      <c r="AD76" s="142" t="n">
        <f aca="false">AD66+AD70*(1+AD73/3)</f>
        <v>2.589265308672E+025</v>
      </c>
      <c r="AE76" s="142" t="n">
        <f aca="false">AE66+AE70*(1+AE73/3)</f>
        <v>1.73732577709207E+024</v>
      </c>
      <c r="AF76" s="142" t="n">
        <f aca="false">AF66+AF70*(1+AF73/3)</f>
        <v>2.589265308672E+025</v>
      </c>
      <c r="AG76" s="142" t="n">
        <f aca="false">AG66+AG70*(1+AG73/3)</f>
        <v>1.73732577709207E+024</v>
      </c>
      <c r="AH76" s="142" t="n">
        <f aca="false">AH66+AH70*(1+AH73/3)</f>
        <v>2.589265308672E+025</v>
      </c>
    </row>
    <row r="77" customFormat="false" ht="15" hidden="false" customHeight="false" outlineLevel="0" collapsed="false">
      <c r="A77" s="59" t="s">
        <v>1045</v>
      </c>
      <c r="B77" s="59" t="s">
        <v>93</v>
      </c>
      <c r="C77" s="99" t="n">
        <f aca="false">IF(AND(ISNUMBER(C75)),C76/(C75*3600*C12*1000000000000000),"SLO 不可達")</f>
        <v>0.0731801304364245</v>
      </c>
      <c r="D77" s="99" t="n">
        <f aca="false">IF(AND(ISNUMBER(D75)),D76/(D75*3600*D12*1000000000000000),"SLO 不可達")</f>
        <v>0.0679835504547044</v>
      </c>
      <c r="E77" s="99" t="n">
        <f aca="false">IF(AND(ISNUMBER(E75)),E76/(E75*3600*E12*1000000000000000),"SLO 不可達")</f>
        <v>0.0551645041626229</v>
      </c>
      <c r="F77" s="99" t="n">
        <f aca="false">IF(AND(ISNUMBER(F75)),F76/(F75*3600*F12*1000000000000000),"SLO 不可達")</f>
        <v>0.0523260548994102</v>
      </c>
      <c r="G77" s="99" t="n">
        <f aca="false">IF(AND(ISNUMBER(G75)),G76/(G75*3600*G12*1000000000000000),"SLO 不可達")</f>
        <v>0.0896487134468116</v>
      </c>
      <c r="H77" s="99" t="n">
        <f aca="false">IF(AND(ISNUMBER(H75)),H76/(H75*3600*H12*1000000000000000),"SLO 不可達")</f>
        <v>0.0817420988587947</v>
      </c>
      <c r="I77" s="99" t="n">
        <f aca="false">IF(AND(ISNUMBER(I75)),I76/(I75*3600*I12*1000000000000000),"SLO 不可達")</f>
        <v>0.0484594927167788</v>
      </c>
      <c r="J77" s="99" t="n">
        <f aca="false">IF(AND(ISNUMBER(J75)),J76/(J75*3600*J12*1000000000000000),"SLO 不可達")</f>
        <v>0.0438276722499491</v>
      </c>
      <c r="K77" s="99" t="n">
        <f aca="false">IF(AND(ISNUMBER(K75)),K76/(K75*3600*K12*1000000000000000),"SLO 不可達")</f>
        <v>0.0731801304364245</v>
      </c>
      <c r="L77" s="99" t="n">
        <f aca="false">IF(AND(ISNUMBER(L75)),L76/(L75*3600*L12*1000000000000000),"SLO 不可達")</f>
        <v>0.0679835504547044</v>
      </c>
      <c r="M77" s="99" t="n">
        <f aca="false">IF(AND(ISNUMBER(M75)),M76/(M75*3600*M12*1000000000000000),"SLO 不可達")</f>
        <v>0.0731801304364245</v>
      </c>
      <c r="N77" s="99" t="n">
        <f aca="false">IF(AND(ISNUMBER(N75)),N76/(N75*3600*N12*1000000000000000),"SLO 不可達")</f>
        <v>0.0679835504547044</v>
      </c>
      <c r="O77" s="99" t="n">
        <f aca="false">IF(AND(ISNUMBER(O75)),O76/(O75*3600*O12*1000000000000000),"SLO 不可達")</f>
        <v>0.0731801304364245</v>
      </c>
      <c r="P77" s="99" t="n">
        <f aca="false">IF(AND(ISNUMBER(P75)),P76/(P75*3600*P12*1000000000000000),"SLO 不可達")</f>
        <v>0.0679835504547044</v>
      </c>
      <c r="Q77" s="99" t="n">
        <f aca="false">IF(AND(ISNUMBER(Q75)),Q76/(Q75*3600*Q12*1000000000000000),"SLO 不可達")</f>
        <v>0.0731801304364245</v>
      </c>
      <c r="R77" s="99" t="n">
        <f aca="false">IF(AND(ISNUMBER(R75)),R76/(R75*3600*R12*1000000000000000),"SLO 不可達")</f>
        <v>0.0679835504547043</v>
      </c>
      <c r="S77" s="99" t="n">
        <f aca="false">IF(AND(ISNUMBER(S75)),S76/(S75*3600*S12*1000000000000000),"SLO 不可達")</f>
        <v>0.0603520520242173</v>
      </c>
      <c r="T77" s="99" t="n">
        <f aca="false">IF(AND(ISNUMBER(T75)),T76/(T75*3600*T12*1000000000000000),"SLO 不可達")</f>
        <v>0.0552869889175818</v>
      </c>
      <c r="U77" s="99" t="n">
        <f aca="false">IF(AND(ISNUMBER(U75)),U76/(U75*3600*U12*1000000000000000),"SLO 不可達")</f>
        <v>0.0773327349427606</v>
      </c>
      <c r="V77" s="99" t="n">
        <f aca="false">IF(AND(ISNUMBER(V75)),V76/(V75*3600*V12*1000000000000000),"SLO 不可達")</f>
        <v>0.0721706310792297</v>
      </c>
      <c r="W77" s="99" t="n">
        <f aca="false">IF(AND(ISNUMBER(W75)),W76/(W75*3600*W12*1000000000000000),"SLO 不可達")</f>
        <v>0.0579831501289786</v>
      </c>
      <c r="X77" s="99" t="n">
        <f aca="false">IF(AND(ISNUMBER(X75)),X76/(X75*3600*X12*1000000000000000),"SLO 不可達")</f>
        <v>0.0528038857607833</v>
      </c>
      <c r="Y77" s="99" t="n">
        <f aca="false">IF(AND(ISNUMBER(Y75)),Y76/(Y75*3600*Y12*1000000000000000),"SLO 不可達")</f>
        <v>0.0731801304364245</v>
      </c>
      <c r="Z77" s="99" t="n">
        <f aca="false">IF(AND(ISNUMBER(Z75)),Z76/(Z75*3600*Z12*1000000000000000),"SLO 不可達")</f>
        <v>0.0679835504547044</v>
      </c>
      <c r="AA77" s="99" t="n">
        <f aca="false">IF(AND(ISNUMBER(AA75)),AA76/(AA75*3600*AA12*1000000000000000),"SLO 不可達")</f>
        <v>0.0731801304364245</v>
      </c>
      <c r="AB77" s="99" t="n">
        <f aca="false">IF(AND(ISNUMBER(AB75)),AB76/(AB75*3600*AB12*1000000000000000),"SLO 不可達")</f>
        <v>0.0679835504547044</v>
      </c>
      <c r="AC77" s="99" t="n">
        <f aca="false">IF(AND(ISNUMBER(AC75)),AC76/(AC75*3600*AC12*1000000000000000),"SLO 不可達")</f>
        <v>0.0731801304364245</v>
      </c>
      <c r="AD77" s="99" t="n">
        <f aca="false">IF(AND(ISNUMBER(AD75)),AD76/(AD75*3600*AD12*1000000000000000),"SLO 不可達")</f>
        <v>0.0679835504547044</v>
      </c>
      <c r="AE77" s="99" t="n">
        <f aca="false">IF(AND(ISNUMBER(AE75)),AE76/(AE75*3600*AE12*1000000000000000),"SLO 不可達")</f>
        <v>0.0731801304364245</v>
      </c>
      <c r="AF77" s="99" t="n">
        <f aca="false">IF(AND(ISNUMBER(AF75)),AF76/(AF75*3600*AF12*1000000000000000),"SLO 不可達")</f>
        <v>0.0679835504547044</v>
      </c>
      <c r="AG77" s="99" t="n">
        <f aca="false">IF(AND(ISNUMBER(AG75)),AG76/(AG75*3600*AG12*1000000000000000),"SLO 不可達")</f>
        <v>0.0689575975598642</v>
      </c>
      <c r="AH77" s="99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59" t="s">
        <v>1046</v>
      </c>
      <c r="B78" s="59" t="s">
        <v>97</v>
      </c>
      <c r="C78" s="102" t="n">
        <f aca="false">IF(AND(ISNUMBER(C75)),C75/C36,"SLO 不可達")</f>
        <v>0.371397626434424</v>
      </c>
      <c r="D78" s="102" t="n">
        <f aca="false">IF(AND(ISNUMBER(D75)),D75/D36,"SLO 不可達")</f>
        <v>1.12717162997901</v>
      </c>
      <c r="E78" s="102" t="n">
        <f aca="false">IF(AND(ISNUMBER(E75)),E75/E36,"SLO 不可達")</f>
        <v>0.29561320808171</v>
      </c>
      <c r="F78" s="102" t="n">
        <f aca="false">IF(AND(ISNUMBER(F75)),F75/F36,"SLO 不可達")</f>
        <v>0.878672732256604</v>
      </c>
      <c r="G78" s="102" t="n">
        <f aca="false">IF(AND(ISNUMBER(G75)),G75/G36,"SLO 不可達")</f>
        <v>0.485074253963496</v>
      </c>
      <c r="H78" s="102" t="n">
        <f aca="false">IF(AND(ISNUMBER(H75)),H75/H36,"SLO 不可達")</f>
        <v>1.49991997656263</v>
      </c>
      <c r="I78" s="102" t="n">
        <f aca="false">IF(AND(ISNUMBER(I75)),I75/I36,"SLO 不可達")</f>
        <v>0.560858672316211</v>
      </c>
      <c r="J78" s="102" t="n">
        <f aca="false">IF(AND(ISNUMBER(J75)),J75/J36,"SLO 不可達")</f>
        <v>1.74841887428504</v>
      </c>
      <c r="K78" s="102" t="n">
        <f aca="false">IF(AND(ISNUMBER(K75)),K75/K36,"SLO 不可達")</f>
        <v>0.742795252868848</v>
      </c>
      <c r="L78" s="102" t="n">
        <f aca="false">IF(AND(ISNUMBER(L75)),L75/L36,"SLO 不可達")</f>
        <v>2.25434325995803</v>
      </c>
      <c r="M78" s="102" t="n">
        <f aca="false">IF(AND(ISNUMBER(M75)),M75/M36,"SLO 不可達")</f>
        <v>0.222393788284086</v>
      </c>
      <c r="N78" s="102" t="n">
        <f aca="false">IF(AND(ISNUMBER(N75)),N75/N36,"SLO 不可達")</f>
        <v>0.674953071843721</v>
      </c>
      <c r="O78" s="102" t="n">
        <f aca="false">IF(AND(ISNUMBER(O75)),O75/O36,"SLO 不可達")</f>
        <v>0.111419287930327</v>
      </c>
      <c r="P78" s="102" t="n">
        <f aca="false">IF(AND(ISNUMBER(P75)),P75/P36,"SLO 不可達")</f>
        <v>0.338151488993704</v>
      </c>
      <c r="Q78" s="102" t="n">
        <f aca="false">IF(AND(ISNUMBER(Q75)),Q75/Q36,"SLO 不可達")</f>
        <v>1.11419287930327</v>
      </c>
      <c r="R78" s="102" t="n">
        <f aca="false">IF(AND(ISNUMBER(R75)),R75/R36,"SLO 不可達")</f>
        <v>3.38151488993704</v>
      </c>
      <c r="S78" s="102" t="n">
        <f aca="false">IF(AND(ISNUMBER(S75)),S75/S36,"SLO 不可達")</f>
        <v>0.450339728885169</v>
      </c>
      <c r="T78" s="102" t="n">
        <f aca="false">IF(AND(ISNUMBER(T75)),T75/T36,"SLO 不可達")</f>
        <v>1.38602464843986</v>
      </c>
      <c r="U78" s="102" t="n">
        <f aca="false">IF(AND(ISNUMBER(U75)),U75/U36,"SLO 不可達")</f>
        <v>0.351454358446868</v>
      </c>
      <c r="V78" s="102" t="n">
        <f aca="false">IF(AND(ISNUMBER(V75)),V75/V36,"SLO 不可達")</f>
        <v>1.06177718320996</v>
      </c>
      <c r="W78" s="102" t="n">
        <f aca="false">IF(AND(ISNUMBER(W75)),W75/W36,"SLO 不可達")</f>
        <v>0.468738360813312</v>
      </c>
      <c r="X78" s="102" t="n">
        <f aca="false">IF(AND(ISNUMBER(X75)),X75/X36,"SLO 不可達")</f>
        <v>1.45120246879068</v>
      </c>
      <c r="Y78" s="102" t="n">
        <f aca="false">IF(AND(ISNUMBER(Y75)),Y75/Y36,"SLO 不可達")</f>
        <v>0.371397626434424</v>
      </c>
      <c r="Z78" s="102" t="n">
        <f aca="false">IF(AND(ISNUMBER(Z75)),Z75/Z36,"SLO 不可達")</f>
        <v>1.12717162997901</v>
      </c>
      <c r="AA78" s="102" t="n">
        <f aca="false">IF(AND(ISNUMBER(AA75)),AA75/AA36,"SLO 不可達")</f>
        <v>0.371397626434424</v>
      </c>
      <c r="AB78" s="102" t="n">
        <f aca="false">IF(AND(ISNUMBER(AB75)),AB75/AB36,"SLO 不可達")</f>
        <v>1.12717162997901</v>
      </c>
      <c r="AC78" s="102" t="n">
        <f aca="false">IF(AND(ISNUMBER(AC75)),AC75/AC36,"SLO 不可達")</f>
        <v>0.371397626434424</v>
      </c>
      <c r="AD78" s="102" t="n">
        <f aca="false">IF(AND(ISNUMBER(AD75)),AD75/AD36,"SLO 不可達")</f>
        <v>1.12717162997901</v>
      </c>
      <c r="AE78" s="102" t="n">
        <f aca="false">IF(AND(ISNUMBER(AE75)),AE75/AE36,"SLO 不可達")</f>
        <v>0.371397626434424</v>
      </c>
      <c r="AF78" s="102" t="n">
        <f aca="false">IF(AND(ISNUMBER(AF75)),AF75/AF36,"SLO 不可達")</f>
        <v>1.12717162997901</v>
      </c>
      <c r="AG78" s="102" t="n">
        <f aca="false">IF(AND(ISNUMBER(AG75)),AG75/AG36,"SLO 不可達")</f>
        <v>0.350346399114226</v>
      </c>
      <c r="AH78" s="102" t="n">
        <f aca="false">IF(AND(ISNUMBER(AH75)),AH75/AH36,"SLO 不可達")</f>
        <v>1.05814415838946</v>
      </c>
    </row>
    <row r="79" customFormat="false" ht="15" hidden="false" customHeight="false" outlineLevel="0" collapsed="false">
      <c r="A79" s="59" t="s">
        <v>1047</v>
      </c>
      <c r="B79" s="59" t="s">
        <v>97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1048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8" t="s">
        <v>1049</v>
      </c>
      <c r="B81" s="59" t="s">
        <v>942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  <c r="R81" s="93" t="n">
        <f aca="false">INDEX(Train_In!$C$35:$E$35,R$7)</f>
        <v>0.2</v>
      </c>
      <c r="S81" s="93" t="n">
        <f aca="false">INDEX(Train_In!$C$35:$E$35,S$7)</f>
        <v>0.2</v>
      </c>
      <c r="T81" s="93" t="n">
        <f aca="false">INDEX(Train_In!$C$35:$E$35,T$7)</f>
        <v>0.2</v>
      </c>
      <c r="U81" s="93" t="n">
        <f aca="false">INDEX(Train_In!$C$35:$E$35,U$7)</f>
        <v>0.2</v>
      </c>
      <c r="V81" s="93" t="n">
        <f aca="false">INDEX(Train_In!$C$35:$E$35,V$7)</f>
        <v>0.2</v>
      </c>
      <c r="W81" s="93" t="n">
        <f aca="false">INDEX(Train_In!$C$35:$E$35,W$7)</f>
        <v>0.2</v>
      </c>
      <c r="X81" s="93" t="n">
        <f aca="false">INDEX(Train_In!$C$35:$E$35,X$7)</f>
        <v>0.2</v>
      </c>
      <c r="Y81" s="93" t="n">
        <f aca="false">INDEX(Train_In!$C$35:$E$35,Y$7)</f>
        <v>0.2</v>
      </c>
      <c r="Z81" s="93" t="n">
        <f aca="false">INDEX(Train_In!$C$35:$E$35,Z$7)</f>
        <v>0.2</v>
      </c>
      <c r="AA81" s="93" t="n">
        <f aca="false">INDEX(Train_In!$C$35:$E$35,AA$7)</f>
        <v>0.2</v>
      </c>
      <c r="AB81" s="93" t="n">
        <f aca="false">INDEX(Train_In!$C$35:$E$35,AB$7)</f>
        <v>0.2</v>
      </c>
      <c r="AC81" s="93" t="n">
        <f aca="false">INDEX(Train_In!$C$35:$E$35,AC$7)</f>
        <v>0.2</v>
      </c>
      <c r="AD81" s="93" t="n">
        <f aca="false">INDEX(Train_In!$C$35:$E$35,AD$7)</f>
        <v>0.2</v>
      </c>
      <c r="AE81" s="93" t="n">
        <f aca="false">INDEX(Train_In!$C$35:$E$35,AE$7)</f>
        <v>0.2</v>
      </c>
      <c r="AF81" s="93" t="n">
        <f aca="false">INDEX(Train_In!$C$35:$E$35,AF$7)</f>
        <v>0.2</v>
      </c>
      <c r="AG81" s="93" t="n">
        <f aca="false">INDEX(Train_In!$C$35:$E$35,AG$7)</f>
        <v>0.2</v>
      </c>
      <c r="AH81" s="93" t="n">
        <f aca="false">INDEX(Train_In!$C$35:$E$35,AH$7)</f>
        <v>0.2</v>
      </c>
    </row>
    <row r="82" customFormat="false" ht="15" hidden="false" customHeight="false" outlineLevel="0" collapsed="false">
      <c r="A82" s="58" t="s">
        <v>1050</v>
      </c>
      <c r="B82" s="58"/>
      <c r="C82" s="87" t="n">
        <f aca="false">INDEX(Train_In!$C$36:$E$36,C$7)</f>
        <v>2</v>
      </c>
      <c r="D82" s="87" t="n">
        <f aca="false">INDEX(Train_In!$C$36:$E$36,D$7)</f>
        <v>3</v>
      </c>
      <c r="E82" s="87" t="n">
        <f aca="false">INDEX(Train_In!$C$36:$E$36,E$7)</f>
        <v>2</v>
      </c>
      <c r="F82" s="87" t="n">
        <f aca="false">INDEX(Train_In!$C$36:$E$36,F$7)</f>
        <v>3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2</v>
      </c>
      <c r="J82" s="87" t="n">
        <f aca="false">INDEX(Train_In!$C$36:$E$36,J$7)</f>
        <v>3</v>
      </c>
      <c r="K82" s="87" t="n">
        <f aca="false">INDEX(Train_In!$C$36:$E$36,K$7)</f>
        <v>2</v>
      </c>
      <c r="L82" s="87" t="n">
        <f aca="false">INDEX(Train_In!$C$36:$E$36,L$7)</f>
        <v>3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2</v>
      </c>
      <c r="P82" s="87" t="n">
        <f aca="false">INDEX(Train_In!$C$36:$E$36,P$7)</f>
        <v>3</v>
      </c>
      <c r="Q82" s="87" t="n">
        <f aca="false">INDEX(Train_In!$C$36:$E$36,Q$7)</f>
        <v>2</v>
      </c>
      <c r="R82" s="87" t="n">
        <f aca="false">INDEX(Train_In!$C$36:$E$36,R$7)</f>
        <v>3</v>
      </c>
      <c r="S82" s="87" t="n">
        <f aca="false">INDEX(Train_In!$C$36:$E$36,S$7)</f>
        <v>2</v>
      </c>
      <c r="T82" s="87" t="n">
        <f aca="false">INDEX(Train_In!$C$36:$E$36,T$7)</f>
        <v>3</v>
      </c>
      <c r="U82" s="87" t="n">
        <f aca="false">INDEX(Train_In!$C$36:$E$36,U$7)</f>
        <v>2</v>
      </c>
      <c r="V82" s="87" t="n">
        <f aca="false">INDEX(Train_In!$C$36:$E$36,V$7)</f>
        <v>3</v>
      </c>
      <c r="W82" s="87" t="n">
        <f aca="false">INDEX(Train_In!$C$36:$E$36,W$7)</f>
        <v>2</v>
      </c>
      <c r="X82" s="87" t="n">
        <f aca="false">INDEX(Train_In!$C$36:$E$36,X$7)</f>
        <v>3</v>
      </c>
      <c r="Y82" s="87" t="n">
        <f aca="false">INDEX(Train_In!$C$36:$E$36,Y$7)</f>
        <v>2</v>
      </c>
      <c r="Z82" s="87" t="n">
        <f aca="false">INDEX(Train_In!$C$36:$E$36,Z$7)</f>
        <v>3</v>
      </c>
      <c r="AA82" s="87" t="n">
        <f aca="false">INDEX(Train_In!$C$36:$E$36,AA$7)</f>
        <v>2</v>
      </c>
      <c r="AB82" s="87" t="n">
        <f aca="false">INDEX(Train_In!$C$36:$E$36,AB$7)</f>
        <v>3</v>
      </c>
      <c r="AC82" s="87" t="n">
        <f aca="false">INDEX(Train_In!$C$36:$E$36,AC$7)</f>
        <v>2</v>
      </c>
      <c r="AD82" s="87" t="n">
        <f aca="false">INDEX(Train_In!$C$36:$E$36,AD$7)</f>
        <v>3</v>
      </c>
      <c r="AE82" s="87" t="n">
        <f aca="false">INDEX(Train_In!$C$36:$E$36,AE$7)</f>
        <v>2</v>
      </c>
      <c r="AF82" s="87" t="n">
        <f aca="false">INDEX(Train_In!$C$36:$E$36,AF$7)</f>
        <v>3</v>
      </c>
      <c r="AG82" s="87" t="n">
        <f aca="false">INDEX(Train_In!$C$36:$E$36,AG$7)</f>
        <v>2</v>
      </c>
      <c r="AH82" s="87" t="n">
        <f aca="false">INDEX(Train_In!$C$36:$E$36,AH$7)</f>
        <v>3</v>
      </c>
    </row>
    <row r="83" customFormat="false" ht="15" hidden="false" customHeight="false" outlineLevel="0" collapsed="false">
      <c r="A83" s="58" t="s">
        <v>1051</v>
      </c>
      <c r="B83" s="59" t="s">
        <v>942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1052</v>
      </c>
      <c r="B84" s="59" t="s">
        <v>791</v>
      </c>
      <c r="C84" s="96" t="n">
        <f aca="false">INDEX(Perf_Batch!$C$101:$Q$101,3*(C$6-1)+C82)</f>
        <v>12.5261781471817</v>
      </c>
      <c r="D84" s="96" t="n">
        <f aca="false">INDEX(Perf_Batch!$C$101:$Q$101,3*(D$6-1)+D82)</f>
        <v>38.1205065142857</v>
      </c>
      <c r="E84" s="96" t="n">
        <f aca="false">INDEX(Perf_Batch!$C$101:$Q$101,3*(E$6-1)+E82)</f>
        <v>12.5261781471817</v>
      </c>
      <c r="F84" s="96" t="n">
        <f aca="false">INDEX(Perf_Batch!$C$101:$Q$101,3*(F$6-1)+F82)</f>
        <v>38.1205065142857</v>
      </c>
      <c r="G84" s="96" t="n">
        <f aca="false">INDEX(Perf_Batch!$C$101:$Q$101,3*(G$6-1)+G82)</f>
        <v>12.5261781471817</v>
      </c>
      <c r="H84" s="96" t="n">
        <f aca="false">INDEX(Perf_Batch!$C$101:$Q$101,3*(H$6-1)+H82)</f>
        <v>38.1205065142857</v>
      </c>
      <c r="I84" s="96" t="n">
        <f aca="false">INDEX(Perf_Batch!$C$101:$Q$101,3*(I$6-1)+I82)</f>
        <v>12.5261781471817</v>
      </c>
      <c r="J84" s="96" t="n">
        <f aca="false">INDEX(Perf_Batch!$C$101:$Q$101,3*(J$6-1)+J82)</f>
        <v>38.1205065142857</v>
      </c>
      <c r="K84" s="96" t="n">
        <f aca="false">INDEX(Perf_Batch!$C$101:$Q$101,3*(K$6-1)+K82)</f>
        <v>12.5261781471817</v>
      </c>
      <c r="L84" s="96" t="n">
        <f aca="false">INDEX(Perf_Batch!$C$101:$Q$101,3*(L$6-1)+L82)</f>
        <v>38.1205065142857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12.5261781471817</v>
      </c>
      <c r="P84" s="96" t="n">
        <f aca="false">INDEX(Perf_Batch!$C$101:$Q$101,3*(P$6-1)+P82)</f>
        <v>38.1205065142857</v>
      </c>
      <c r="Q84" s="96" t="n">
        <f aca="false">INDEX(Perf_Batch!$C$101:$Q$101,3*(Q$6-1)+Q82)</f>
        <v>12.5261781471817</v>
      </c>
      <c r="R84" s="96" t="n">
        <f aca="false">INDEX(Perf_Batch!$C$101:$Q$101,3*(R$6-1)+R82)</f>
        <v>38.1205065142857</v>
      </c>
      <c r="S84" s="96" t="n">
        <f aca="false">INDEX(Perf_Batch!$C$101:$Q$101,3*(S$6-1)+S82)</f>
        <v>12.5261781471817</v>
      </c>
      <c r="T84" s="96" t="n">
        <f aca="false">INDEX(Perf_Batch!$C$101:$Q$101,3*(T$6-1)+T82)</f>
        <v>38.1205065142857</v>
      </c>
      <c r="U84" s="96" t="n">
        <f aca="false">INDEX(Perf_Batch!$C$101:$Q$101,3*(U$6-1)+U82)</f>
        <v>12.5261781471817</v>
      </c>
      <c r="V84" s="96" t="n">
        <f aca="false">INDEX(Perf_Batch!$C$101:$Q$101,3*(V$6-1)+V82)</f>
        <v>38.1205065142857</v>
      </c>
      <c r="W84" s="96" t="n">
        <f aca="false">INDEX(Perf_Batch!$C$101:$Q$101,3*(W$6-1)+W82)</f>
        <v>12.5261781471817</v>
      </c>
      <c r="X84" s="96" t="n">
        <f aca="false">INDEX(Perf_Batch!$C$101:$Q$101,3*(X$6-1)+X82)</f>
        <v>38.1205065142857</v>
      </c>
      <c r="Y84" s="96" t="n">
        <f aca="false">INDEX(Perf_Batch!$C$101:$Q$101,3*(Y$6-1)+Y82)</f>
        <v>12.5261781471817</v>
      </c>
      <c r="Z84" s="96" t="n">
        <f aca="false">INDEX(Perf_Batch!$C$101:$Q$101,3*(Z$6-1)+Z82)</f>
        <v>38.1205065142857</v>
      </c>
      <c r="AA84" s="96" t="n">
        <f aca="false">INDEX(Perf_Batch!$C$101:$Q$101,3*(AA$6-1)+AA82)</f>
        <v>12.5261781471817</v>
      </c>
      <c r="AB84" s="96" t="n">
        <f aca="false">INDEX(Perf_Batch!$C$101:$Q$101,3*(AB$6-1)+AB82)</f>
        <v>38.1205065142857</v>
      </c>
      <c r="AC84" s="96" t="n">
        <f aca="false">INDEX(Perf_Batch!$C$101:$Q$101,3*(AC$6-1)+AC82)</f>
        <v>12.5261781471817</v>
      </c>
      <c r="AD84" s="96" t="n">
        <f aca="false">INDEX(Perf_Batch!$C$101:$Q$101,3*(AD$6-1)+AD82)</f>
        <v>38.1205065142857</v>
      </c>
      <c r="AE84" s="96" t="n">
        <f aca="false">INDEX(Perf_Batch!$C$101:$Q$101,3*(AE$6-1)+AE82)</f>
        <v>12.5261781471817</v>
      </c>
      <c r="AF84" s="96" t="n">
        <f aca="false">INDEX(Perf_Batch!$C$101:$Q$101,3*(AF$6-1)+AF82)</f>
        <v>38.1205065142857</v>
      </c>
      <c r="AG84" s="96" t="n">
        <f aca="false">INDEX(Perf_Batch!$C$101:$Q$101,3*(AG$6-1)+AG82)</f>
        <v>12.5261781471817</v>
      </c>
      <c r="AH84" s="96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1053</v>
      </c>
      <c r="B85" s="59" t="s">
        <v>481</v>
      </c>
      <c r="C85" s="96" t="n">
        <f aca="false">INDEX(Perf_Batch!$C$67:$Q$67,3*(C$6-1)+C82)</f>
        <v>131.524870545408</v>
      </c>
      <c r="D85" s="96" t="n">
        <f aca="false">INDEX(Perf_Batch!$C$67:$Q$67,3*(D$6-1)+D82)</f>
        <v>400.2653184</v>
      </c>
      <c r="E85" s="96" t="n">
        <f aca="false">INDEX(Perf_Batch!$C$67:$Q$67,3*(E$6-1)+E82)</f>
        <v>131.524870545408</v>
      </c>
      <c r="F85" s="96" t="n">
        <f aca="false">INDEX(Perf_Batch!$C$67:$Q$67,3*(F$6-1)+F82)</f>
        <v>400.2653184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131.524870545408</v>
      </c>
      <c r="J85" s="96" t="n">
        <f aca="false">INDEX(Perf_Batch!$C$67:$Q$67,3*(J$6-1)+J82)</f>
        <v>400.2653184</v>
      </c>
      <c r="K85" s="96" t="n">
        <f aca="false">INDEX(Perf_Batch!$C$67:$Q$67,3*(K$6-1)+K82)</f>
        <v>131.524870545408</v>
      </c>
      <c r="L85" s="96" t="n">
        <f aca="false">INDEX(Perf_Batch!$C$67:$Q$67,3*(L$6-1)+L82)</f>
        <v>400.2653184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131.524870545408</v>
      </c>
      <c r="P85" s="96" t="n">
        <f aca="false">INDEX(Perf_Batch!$C$67:$Q$67,3*(P$6-1)+P82)</f>
        <v>400.2653184</v>
      </c>
      <c r="Q85" s="96" t="n">
        <f aca="false">INDEX(Perf_Batch!$C$67:$Q$67,3*(Q$6-1)+Q82)</f>
        <v>131.524870545408</v>
      </c>
      <c r="R85" s="96" t="n">
        <f aca="false">INDEX(Perf_Batch!$C$67:$Q$67,3*(R$6-1)+R82)</f>
        <v>400.2653184</v>
      </c>
      <c r="S85" s="96" t="n">
        <f aca="false">INDEX(Perf_Batch!$C$67:$Q$67,3*(S$6-1)+S82)</f>
        <v>131.524870545408</v>
      </c>
      <c r="T85" s="96" t="n">
        <f aca="false">INDEX(Perf_Batch!$C$67:$Q$67,3*(T$6-1)+T82)</f>
        <v>400.2653184</v>
      </c>
      <c r="U85" s="96" t="n">
        <f aca="false">INDEX(Perf_Batch!$C$67:$Q$67,3*(U$6-1)+U82)</f>
        <v>131.524870545408</v>
      </c>
      <c r="V85" s="96" t="n">
        <f aca="false">INDEX(Perf_Batch!$C$67:$Q$67,3*(V$6-1)+V82)</f>
        <v>400.2653184</v>
      </c>
      <c r="W85" s="96" t="n">
        <f aca="false">INDEX(Perf_Batch!$C$67:$Q$67,3*(W$6-1)+W82)</f>
        <v>131.524870545408</v>
      </c>
      <c r="X85" s="96" t="n">
        <f aca="false">INDEX(Perf_Batch!$C$67:$Q$67,3*(X$6-1)+X82)</f>
        <v>400.2653184</v>
      </c>
      <c r="Y85" s="96" t="n">
        <f aca="false">INDEX(Perf_Batch!$C$67:$Q$67,3*(Y$6-1)+Y82)</f>
        <v>131.524870545408</v>
      </c>
      <c r="Z85" s="96" t="n">
        <f aca="false">INDEX(Perf_Batch!$C$67:$Q$67,3*(Z$6-1)+Z82)</f>
        <v>400.2653184</v>
      </c>
      <c r="AA85" s="96" t="n">
        <f aca="false">INDEX(Perf_Batch!$C$67:$Q$67,3*(AA$6-1)+AA82)</f>
        <v>131.524870545408</v>
      </c>
      <c r="AB85" s="96" t="n">
        <f aca="false">INDEX(Perf_Batch!$C$67:$Q$67,3*(AB$6-1)+AB82)</f>
        <v>400.2653184</v>
      </c>
      <c r="AC85" s="96" t="n">
        <f aca="false">INDEX(Perf_Batch!$C$67:$Q$67,3*(AC$6-1)+AC82)</f>
        <v>131.524870545408</v>
      </c>
      <c r="AD85" s="96" t="n">
        <f aca="false">INDEX(Perf_Batch!$C$67:$Q$67,3*(AD$6-1)+AD82)</f>
        <v>400.2653184</v>
      </c>
      <c r="AE85" s="96" t="n">
        <f aca="false">INDEX(Perf_Batch!$C$67:$Q$67,3*(AE$6-1)+AE82)</f>
        <v>131.524870545408</v>
      </c>
      <c r="AF85" s="96" t="n">
        <f aca="false">INDEX(Perf_Batch!$C$67:$Q$67,3*(AF$6-1)+AF82)</f>
        <v>400.2653184</v>
      </c>
      <c r="AG85" s="96" t="n">
        <f aca="false">INDEX(Perf_Batch!$C$67:$Q$67,3*(AG$6-1)+AG82)</f>
        <v>131.524870545408</v>
      </c>
      <c r="AH85" s="96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1054</v>
      </c>
      <c r="B86" s="59" t="s">
        <v>1010</v>
      </c>
      <c r="C86" s="65" t="n">
        <f aca="false">IF(AND(ISNUMBER(C59)),C81*1000000*C59/3600/C64,"SLO 不可達")</f>
        <v>16265.3626052943</v>
      </c>
      <c r="D86" s="65" t="n">
        <f aca="false">IF(AND(ISNUMBER(D59)),D81*1000000*D59/3600/D64,"SLO 不可達")</f>
        <v>69339.0610047075</v>
      </c>
      <c r="E86" s="65" t="n">
        <f aca="false">IF(AND(ISNUMBER(E59)),E81*1000000*E59/3600/E64,"SLO 不可達")</f>
        <v>16265.3626052943</v>
      </c>
      <c r="F86" s="65" t="n">
        <f aca="false">IF(AND(ISNUMBER(F59)),F81*1000000*F59/3600/F64,"SLO 不可達")</f>
        <v>69339.0610047075</v>
      </c>
      <c r="G86" s="65" t="n">
        <f aca="false">IF(AND(ISNUMBER(G59)),G81*1000000*G59/3600/G64,"SLO 不可達")</f>
        <v>16265.3626052943</v>
      </c>
      <c r="H86" s="65" t="n">
        <f aca="false">IF(AND(ISNUMBER(H59)),H81*1000000*H59/3600/H64,"SLO 不可達")</f>
        <v>69339.0610047075</v>
      </c>
      <c r="I86" s="65" t="n">
        <f aca="false">IF(AND(ISNUMBER(I59)),I81*1000000*I59/3600/I64,"SLO 不可達")</f>
        <v>16265.3626052943</v>
      </c>
      <c r="J86" s="65" t="n">
        <f aca="false">IF(AND(ISNUMBER(J59)),J81*1000000*J59/3600/J64,"SLO 不可達")</f>
        <v>69339.0610047075</v>
      </c>
      <c r="K86" s="65" t="n">
        <f aca="false">IF(AND(ISNUMBER(K59)),K81*1000000*K59/3600/K64,"SLO 不可達")</f>
        <v>16265.3626052943</v>
      </c>
      <c r="L86" s="65" t="n">
        <f aca="false">IF(AND(ISNUMBER(L59)),L81*1000000*L59/3600/L64,"SLO 不可達")</f>
        <v>69339.0610047075</v>
      </c>
      <c r="M86" s="65" t="n">
        <f aca="false">IF(AND(ISNUMBER(M59)),M81*1000000*M59/3600/M64,"SLO 不可達")</f>
        <v>16265.3626052943</v>
      </c>
      <c r="N86" s="65" t="n">
        <f aca="false">IF(AND(ISNUMBER(N59)),N81*1000000*N59/3600/N64,"SLO 不可達")</f>
        <v>69339.0610047075</v>
      </c>
      <c r="O86" s="65" t="n">
        <f aca="false">IF(AND(ISNUMBER(O59)),O81*1000000*O59/3600/O64,"SLO 不可達")</f>
        <v>16265.3626052943</v>
      </c>
      <c r="P86" s="65" t="n">
        <f aca="false">IF(AND(ISNUMBER(P59)),P81*1000000*P59/3600/P64,"SLO 不可達")</f>
        <v>69339.0610047075</v>
      </c>
      <c r="Q86" s="65" t="n">
        <f aca="false">IF(AND(ISNUMBER(Q59)),Q81*1000000*Q59/3600/Q64,"SLO 不可達")</f>
        <v>16265.3626052943</v>
      </c>
      <c r="R86" s="65" t="n">
        <f aca="false">IF(AND(ISNUMBER(R59)),R81*1000000*R59/3600/R64,"SLO 不可達")</f>
        <v>69339.0610047075</v>
      </c>
      <c r="S86" s="65" t="n">
        <f aca="false">IF(AND(ISNUMBER(S59)),S81*1000000*S59/3600/S64,"SLO 不可達")</f>
        <v>23042.5970241669</v>
      </c>
      <c r="T86" s="65" t="n">
        <f aca="false">IF(AND(ISNUMBER(T59)),T81*1000000*T59/3600/T64,"SLO 不可達")</f>
        <v>98230.3364233356</v>
      </c>
      <c r="U86" s="65" t="n">
        <f aca="false">IF(AND(ISNUMBER(U59)),U81*1000000*U59/3600/U64,"SLO 不可達")</f>
        <v>14553.2191731581</v>
      </c>
      <c r="V86" s="65" t="n">
        <f aca="false">IF(AND(ISNUMBER(V59)),V81*1000000*V59/3600/V64,"SLO 不可達")</f>
        <v>62040.2124778962</v>
      </c>
      <c r="W86" s="65" t="n">
        <f aca="false">IF(AND(ISNUMBER(W59)),W81*1000000*W59/3600/W64,"SLO 不可達")</f>
        <v>24609.6925975813</v>
      </c>
      <c r="X86" s="65" t="n">
        <f aca="false">IF(AND(ISNUMBER(X59)),X81*1000000*X59/3600/X64,"SLO 不可達")</f>
        <v>105467.756760022</v>
      </c>
      <c r="Y86" s="65" t="n">
        <f aca="false">IF(AND(ISNUMBER(Y59)),Y81*1000000*Y59/3600/Y64,"SLO 不可達")</f>
        <v>16265.3626052943</v>
      </c>
      <c r="Z86" s="65" t="n">
        <f aca="false">IF(AND(ISNUMBER(Z59)),Z81*1000000*Z59/3600/Z64,"SLO 不可達")</f>
        <v>69339.0610047075</v>
      </c>
      <c r="AA86" s="65" t="n">
        <f aca="false">IF(AND(ISNUMBER(AA59)),AA81*1000000*AA59/3600/AA64,"SLO 不可達")</f>
        <v>16265.3626052943</v>
      </c>
      <c r="AB86" s="65" t="n">
        <f aca="false">IF(AND(ISNUMBER(AB59)),AB81*1000000*AB59/3600/AB64,"SLO 不可達")</f>
        <v>69339.0610047075</v>
      </c>
      <c r="AC86" s="65" t="n">
        <f aca="false">IF(AND(ISNUMBER(AC59)),AC81*1000000*AC59/3600/AC64,"SLO 不可達")</f>
        <v>16265.3626052943</v>
      </c>
      <c r="AD86" s="65" t="n">
        <f aca="false">IF(AND(ISNUMBER(AD59)),AD81*1000000*AD59/3600/AD64,"SLO 不可達")</f>
        <v>69339.0610047075</v>
      </c>
      <c r="AE86" s="65" t="n">
        <f aca="false">IF(AND(ISNUMBER(AE59)),AE81*1000000*AE59/3600/AE64,"SLO 不可達")</f>
        <v>16265.3626052943</v>
      </c>
      <c r="AF86" s="65" t="n">
        <f aca="false">IF(AND(ISNUMBER(AF59)),AF81*1000000*AF59/3600/AF64,"SLO 不可達")</f>
        <v>69339.0610047075</v>
      </c>
      <c r="AG86" s="65" t="n">
        <f aca="false">IF(AND(ISNUMBER(AG59)),AG81*1000000*AG59/3600/AG64,"SLO 不可達")</f>
        <v>16265.3626052943</v>
      </c>
      <c r="AH86" s="65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58" t="s">
        <v>1055</v>
      </c>
      <c r="B87" s="59" t="s">
        <v>1010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8" t="s">
        <v>1056</v>
      </c>
      <c r="B88" s="59" t="s">
        <v>301</v>
      </c>
      <c r="C88" s="142" t="n">
        <f aca="false">C69*1000000000*C83*1000000000000</f>
        <v>1.197466186752E+023</v>
      </c>
      <c r="D88" s="142" t="n">
        <f aca="false">D69*1000000000*D83*1000000000000</f>
        <v>4.3271635968E+023</v>
      </c>
      <c r="E88" s="142" t="n">
        <f aca="false">E69*1000000000*E83*1000000000000</f>
        <v>1.197466186752E+023</v>
      </c>
      <c r="F88" s="142" t="n">
        <f aca="false">F69*1000000000*F83*1000000000000</f>
        <v>4.3271635968E+023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1.197466186752E+023</v>
      </c>
      <c r="J88" s="142" t="n">
        <f aca="false">J69*1000000000*J83*1000000000000</f>
        <v>4.3271635968E+023</v>
      </c>
      <c r="K88" s="142" t="n">
        <f aca="false">K69*1000000000*K83*1000000000000</f>
        <v>1.197466186752E+023</v>
      </c>
      <c r="L88" s="142" t="n">
        <f aca="false">L69*1000000000*L83*1000000000000</f>
        <v>4.3271635968E+023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1.197466186752E+023</v>
      </c>
      <c r="P88" s="142" t="n">
        <f aca="false">P69*1000000000*P83*1000000000000</f>
        <v>4.3271635968E+023</v>
      </c>
      <c r="Q88" s="142" t="n">
        <f aca="false">Q69*1000000000*Q83*1000000000000</f>
        <v>1.197466186752E+023</v>
      </c>
      <c r="R88" s="142" t="n">
        <f aca="false">R69*1000000000*R83*1000000000000</f>
        <v>4.3271635968E+023</v>
      </c>
      <c r="S88" s="142" t="n">
        <f aca="false">S69*1000000000*S83*1000000000000</f>
        <v>1.197466186752E+023</v>
      </c>
      <c r="T88" s="142" t="n">
        <f aca="false">T69*1000000000*T83*1000000000000</f>
        <v>4.3271635968E+023</v>
      </c>
      <c r="U88" s="142" t="n">
        <f aca="false">U69*1000000000*U83*1000000000000</f>
        <v>1.197466186752E+023</v>
      </c>
      <c r="V88" s="142" t="n">
        <f aca="false">V69*1000000000*V83*1000000000000</f>
        <v>4.3271635968E+023</v>
      </c>
      <c r="W88" s="142" t="n">
        <f aca="false">W69*1000000000*W83*1000000000000</f>
        <v>1.197466186752E+023</v>
      </c>
      <c r="X88" s="142" t="n">
        <f aca="false">X69*1000000000*X83*1000000000000</f>
        <v>4.3271635968E+023</v>
      </c>
      <c r="Y88" s="142" t="n">
        <f aca="false">Y69*1000000000*Y83*1000000000000</f>
        <v>1.197466186752E+023</v>
      </c>
      <c r="Z88" s="142" t="n">
        <f aca="false">Z69*1000000000*Z83*1000000000000</f>
        <v>4.3271635968E+023</v>
      </c>
      <c r="AA88" s="142" t="n">
        <f aca="false">AA69*1000000000*AA83*1000000000000</f>
        <v>1.197466186752E+023</v>
      </c>
      <c r="AB88" s="142" t="n">
        <f aca="false">AB69*1000000000*AB83*1000000000000</f>
        <v>4.3271635968E+023</v>
      </c>
      <c r="AC88" s="142" t="n">
        <f aca="false">AC69*1000000000*AC83*1000000000000</f>
        <v>1.197466186752E+023</v>
      </c>
      <c r="AD88" s="142" t="n">
        <f aca="false">AD69*1000000000*AD83*1000000000000</f>
        <v>4.3271635968E+023</v>
      </c>
      <c r="AE88" s="142" t="n">
        <f aca="false">AE69*1000000000*AE83*1000000000000</f>
        <v>1.197466186752E+023</v>
      </c>
      <c r="AF88" s="142" t="n">
        <f aca="false">AF69*1000000000*AF83*1000000000000</f>
        <v>4.3271635968E+023</v>
      </c>
      <c r="AG88" s="142" t="n">
        <f aca="false">AG69*1000000000*AG83*1000000000000</f>
        <v>1.197466186752E+023</v>
      </c>
      <c r="AH88" s="142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1057</v>
      </c>
      <c r="B89" s="59" t="s">
        <v>1010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1058</v>
      </c>
      <c r="B90" s="59" t="s">
        <v>1010</v>
      </c>
      <c r="C90" s="65" t="n">
        <f aca="false">IF(AND(ISNUMBER(C86)),C86+C87+C89,"SLO 不可達")</f>
        <v>32953.1612284354</v>
      </c>
      <c r="D90" s="65" t="n">
        <f aca="false">IF(AND(ISNUMBER(D86)),D86+D87+D89,"SLO 不可達")</f>
        <v>129046.746388834</v>
      </c>
      <c r="E90" s="65" t="n">
        <f aca="false">IF(AND(ISNUMBER(E86)),E86+E87+E89,"SLO 不可達")</f>
        <v>43382.4615245749</v>
      </c>
      <c r="F90" s="65" t="n">
        <f aca="false">IF(AND(ISNUMBER(F86)),F86+F87+F89,"SLO 不可達")</f>
        <v>166734.064060792</v>
      </c>
      <c r="G90" s="65" t="n">
        <f aca="false">IF(AND(ISNUMBER(G86)),G86+G87+G89,"SLO 不可達")</f>
        <v>27086.6798118569</v>
      </c>
      <c r="H90" s="65" t="n">
        <f aca="false">IF(AND(ISNUMBER(H86)),H86+H87+H89,"SLO 不可達")</f>
        <v>107847.630198358</v>
      </c>
      <c r="I90" s="65" t="n">
        <f aca="false">IF(AND(ISNUMBER(I86)),I86+I87+I89,"SLO 不可達")</f>
        <v>25131.1860063307</v>
      </c>
      <c r="J90" s="65" t="n">
        <f aca="false">IF(AND(ISNUMBER(J86)),J86+J87+J89,"SLO 不可達")</f>
        <v>100781.258134866</v>
      </c>
      <c r="K90" s="65" t="n">
        <f aca="false">IF(AND(ISNUMBER(K86)),K86+K87+K89,"SLO 不可達")</f>
        <v>32953.1612284354</v>
      </c>
      <c r="L90" s="65" t="n">
        <f aca="false">IF(AND(ISNUMBER(L86)),L86+L87+L89,"SLO 不可達")</f>
        <v>129046.746388834</v>
      </c>
      <c r="M90" s="65" t="n">
        <f aca="false">IF(AND(ISNUMBER(M86)),M86+M87+M89,"SLO 不可達")</f>
        <v>32953.1612284354</v>
      </c>
      <c r="N90" s="65" t="n">
        <f aca="false">IF(AND(ISNUMBER(N86)),N86+N87+N89,"SLO 不可達")</f>
        <v>129046.746388834</v>
      </c>
      <c r="O90" s="65" t="n">
        <f aca="false">IF(AND(ISNUMBER(O86)),O86+O87+O89,"SLO 不可達")</f>
        <v>32953.1612284354</v>
      </c>
      <c r="P90" s="65" t="n">
        <f aca="false">IF(AND(ISNUMBER(P86)),P86+P87+P89,"SLO 不可達")</f>
        <v>129046.746388834</v>
      </c>
      <c r="Q90" s="65" t="n">
        <f aca="false">IF(AND(ISNUMBER(Q86)),Q86+Q87+Q89,"SLO 不可達")</f>
        <v>32953.1612284354</v>
      </c>
      <c r="R90" s="65" t="n">
        <f aca="false">IF(AND(ISNUMBER(R86)),R86+R87+R89,"SLO 不可達")</f>
        <v>129046.746388834</v>
      </c>
      <c r="S90" s="65" t="n">
        <f aca="false">IF(AND(ISNUMBER(S86)),S86+S87+S89,"SLO 不可達")</f>
        <v>39730.395647308</v>
      </c>
      <c r="T90" s="65" t="n">
        <f aca="false">IF(AND(ISNUMBER(T86)),T86+T87+T89,"SLO 不可達")</f>
        <v>157938.021807463</v>
      </c>
      <c r="U90" s="65" t="n">
        <f aca="false">IF(AND(ISNUMBER(U86)),U86+U87+U89,"SLO 不可達")</f>
        <v>31241.0177962992</v>
      </c>
      <c r="V90" s="65" t="n">
        <f aca="false">IF(AND(ISNUMBER(V86)),V86+V87+V89,"SLO 不可達")</f>
        <v>121747.897862023</v>
      </c>
      <c r="W90" s="65" t="n">
        <f aca="false">IF(AND(ISNUMBER(W86)),W86+W87+W89,"SLO 不可達")</f>
        <v>41297.4912207224</v>
      </c>
      <c r="X90" s="65" t="n">
        <f aca="false">IF(AND(ISNUMBER(X86)),X86+X87+X89,"SLO 不可達")</f>
        <v>165175.442144149</v>
      </c>
      <c r="Y90" s="65" t="n">
        <f aca="false">IF(AND(ISNUMBER(Y86)),Y86+Y87+Y89,"SLO 不可達")</f>
        <v>32953.1612284354</v>
      </c>
      <c r="Z90" s="65" t="n">
        <f aca="false">IF(AND(ISNUMBER(Z86)),Z86+Z87+Z89,"SLO 不可達")</f>
        <v>129046.746388834</v>
      </c>
      <c r="AA90" s="65" t="n">
        <f aca="false">IF(AND(ISNUMBER(AA86)),AA86+AA87+AA89,"SLO 不可達")</f>
        <v>32953.1612284354</v>
      </c>
      <c r="AB90" s="65" t="n">
        <f aca="false">IF(AND(ISNUMBER(AB86)),AB86+AB87+AB89,"SLO 不可達")</f>
        <v>129046.746388834</v>
      </c>
      <c r="AC90" s="65" t="n">
        <f aca="false">IF(AND(ISNUMBER(AC86)),AC86+AC87+AC89,"SLO 不可達")</f>
        <v>32953.1612284354</v>
      </c>
      <c r="AD90" s="65" t="n">
        <f aca="false">IF(AND(ISNUMBER(AD86)),AD86+AD87+AD89,"SLO 不可達")</f>
        <v>129046.746388834</v>
      </c>
      <c r="AE90" s="65" t="n">
        <f aca="false">IF(AND(ISNUMBER(AE86)),AE86+AE87+AE89,"SLO 不可達")</f>
        <v>32953.1612284354</v>
      </c>
      <c r="AF90" s="65" t="n">
        <f aca="false">IF(AND(ISNUMBER(AF86)),AF86+AF87+AF89,"SLO 不可達")</f>
        <v>129046.746388834</v>
      </c>
      <c r="AG90" s="65" t="n">
        <f aca="false">IF(AND(ISNUMBER(AG86)),AG86+AG87+AG89,"SLO 不可達")</f>
        <v>34908.6550339616</v>
      </c>
      <c r="AH90" s="65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58" t="s">
        <v>1059</v>
      </c>
      <c r="B91" s="59" t="s">
        <v>301</v>
      </c>
      <c r="C91" s="142" t="n">
        <f aca="false">C81*1000000000000*C61*1000000000+C83*1000000000000*C85*1000000000+C88</f>
        <v>1.85866428781363E+023</v>
      </c>
      <c r="D91" s="142" t="n">
        <f aca="false">D81*1000000000000*D61*1000000000+D83*1000000000000*D85*1000000000+D88</f>
        <v>6.5700820992E+023</v>
      </c>
      <c r="E91" s="142" t="n">
        <f aca="false">E81*1000000000000*E61*1000000000+E83*1000000000000*E85*1000000000+E88</f>
        <v>1.85866428781363E+023</v>
      </c>
      <c r="F91" s="142" t="n">
        <f aca="false">F81*1000000000000*F61*1000000000+F83*1000000000000*F85*1000000000+F88</f>
        <v>6.5700820992E+023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1.85866428781363E+023</v>
      </c>
      <c r="J91" s="142" t="n">
        <f aca="false">J81*1000000000000*J61*1000000000+J83*1000000000000*J85*1000000000+J88</f>
        <v>6.5700820992E+023</v>
      </c>
      <c r="K91" s="142" t="n">
        <f aca="false">K81*1000000000000*K61*1000000000+K83*1000000000000*K85*1000000000+K88</f>
        <v>1.85866428781363E+023</v>
      </c>
      <c r="L91" s="142" t="n">
        <f aca="false">L81*1000000000000*L61*1000000000+L83*1000000000000*L85*1000000000+L88</f>
        <v>6.5700820992E+023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1.85866428781363E+023</v>
      </c>
      <c r="P91" s="142" t="n">
        <f aca="false">P81*1000000000000*P61*1000000000+P83*1000000000000*P85*1000000000+P88</f>
        <v>6.5700820992E+023</v>
      </c>
      <c r="Q91" s="142" t="n">
        <f aca="false">Q81*1000000000000*Q61*1000000000+Q83*1000000000000*Q85*1000000000+Q88</f>
        <v>1.85866428781363E+023</v>
      </c>
      <c r="R91" s="142" t="n">
        <f aca="false">R81*1000000000000*R61*1000000000+R83*1000000000000*R85*1000000000+R88</f>
        <v>6.5700820992E+023</v>
      </c>
      <c r="S91" s="142" t="n">
        <f aca="false">S81*1000000000000*S61*1000000000+S83*1000000000000*S85*1000000000+S88</f>
        <v>1.85866428781363E+023</v>
      </c>
      <c r="T91" s="142" t="n">
        <f aca="false">T81*1000000000000*T61*1000000000+T83*1000000000000*T85*1000000000+T88</f>
        <v>6.5700820992E+023</v>
      </c>
      <c r="U91" s="142" t="n">
        <f aca="false">U81*1000000000000*U61*1000000000+U83*1000000000000*U85*1000000000+U88</f>
        <v>1.85866428781363E+023</v>
      </c>
      <c r="V91" s="142" t="n">
        <f aca="false">V81*1000000000000*V61*1000000000+V83*1000000000000*V85*1000000000+V88</f>
        <v>6.5700820992E+023</v>
      </c>
      <c r="W91" s="142" t="n">
        <f aca="false">W81*1000000000000*W61*1000000000+W83*1000000000000*W85*1000000000+W88</f>
        <v>1.85866428781363E+023</v>
      </c>
      <c r="X91" s="142" t="n">
        <f aca="false">X81*1000000000000*X61*1000000000+X83*1000000000000*X85*1000000000+X88</f>
        <v>6.5700820992E+023</v>
      </c>
      <c r="Y91" s="142" t="n">
        <f aca="false">Y81*1000000000000*Y61*1000000000+Y83*1000000000000*Y85*1000000000+Y88</f>
        <v>1.85866428781363E+023</v>
      </c>
      <c r="Z91" s="142" t="n">
        <f aca="false">Z81*1000000000000*Z61*1000000000+Z83*1000000000000*Z85*1000000000+Z88</f>
        <v>6.5700820992E+023</v>
      </c>
      <c r="AA91" s="142" t="n">
        <f aca="false">AA81*1000000000000*AA61*1000000000+AA83*1000000000000*AA85*1000000000+AA88</f>
        <v>1.85866428781363E+023</v>
      </c>
      <c r="AB91" s="142" t="n">
        <f aca="false">AB81*1000000000000*AB61*1000000000+AB83*1000000000000*AB85*1000000000+AB88</f>
        <v>6.5700820992E+023</v>
      </c>
      <c r="AC91" s="142" t="n">
        <f aca="false">AC81*1000000000000*AC61*1000000000+AC83*1000000000000*AC85*1000000000+AC88</f>
        <v>1.85866428781363E+023</v>
      </c>
      <c r="AD91" s="142" t="n">
        <f aca="false">AD81*1000000000000*AD61*1000000000+AD83*1000000000000*AD85*1000000000+AD88</f>
        <v>6.5700820992E+023</v>
      </c>
      <c r="AE91" s="142" t="n">
        <f aca="false">AE81*1000000000000*AE61*1000000000+AE83*1000000000000*AE85*1000000000+AE88</f>
        <v>1.85866428781363E+023</v>
      </c>
      <c r="AF91" s="142" t="n">
        <f aca="false">AF81*1000000000000*AF61*1000000000+AF83*1000000000000*AF85*1000000000+AF88</f>
        <v>6.5700820992E+023</v>
      </c>
      <c r="AG91" s="142" t="n">
        <f aca="false">AG81*1000000000000*AG61*1000000000+AG83*1000000000000*AG85*1000000000+AG88</f>
        <v>1.85866428781363E+023</v>
      </c>
      <c r="AH91" s="14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1060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1061</v>
      </c>
      <c r="B93" s="59" t="s">
        <v>942</v>
      </c>
      <c r="C93" s="96" t="n">
        <f aca="false">INDEX(Train_In!$C$37:$E$37,C$7)</f>
        <v>2</v>
      </c>
      <c r="D93" s="96" t="n">
        <f aca="false">INDEX(Train_In!$C$37:$E$37,D$7)</f>
        <v>3</v>
      </c>
      <c r="E93" s="96" t="n">
        <f aca="false">INDEX(Train_In!$C$37:$E$37,E$7)</f>
        <v>2</v>
      </c>
      <c r="F93" s="96" t="n">
        <f aca="false">INDEX(Train_In!$C$37:$E$37,F$7)</f>
        <v>3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2</v>
      </c>
      <c r="J93" s="96" t="n">
        <f aca="false">INDEX(Train_In!$C$37:$E$37,J$7)</f>
        <v>3</v>
      </c>
      <c r="K93" s="96" t="n">
        <f aca="false">INDEX(Train_In!$C$37:$E$37,K$7)</f>
        <v>2</v>
      </c>
      <c r="L93" s="96" t="n">
        <f aca="false">INDEX(Train_In!$C$37:$E$37,L$7)</f>
        <v>3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2</v>
      </c>
      <c r="P93" s="96" t="n">
        <f aca="false">INDEX(Train_In!$C$37:$E$37,P$7)</f>
        <v>3</v>
      </c>
      <c r="Q93" s="96" t="n">
        <f aca="false">INDEX(Train_In!$C$37:$E$37,Q$7)</f>
        <v>2</v>
      </c>
      <c r="R93" s="96" t="n">
        <f aca="false">INDEX(Train_In!$C$37:$E$37,R$7)</f>
        <v>3</v>
      </c>
      <c r="S93" s="96" t="n">
        <f aca="false">INDEX(Train_In!$C$37:$E$37,S$7)</f>
        <v>2</v>
      </c>
      <c r="T93" s="96" t="n">
        <f aca="false">INDEX(Train_In!$C$37:$E$37,T$7)</f>
        <v>3</v>
      </c>
      <c r="U93" s="96" t="n">
        <f aca="false">INDEX(Train_In!$C$37:$E$37,U$7)</f>
        <v>2</v>
      </c>
      <c r="V93" s="96" t="n">
        <f aca="false">INDEX(Train_In!$C$37:$E$37,V$7)</f>
        <v>3</v>
      </c>
      <c r="W93" s="96" t="n">
        <f aca="false">INDEX(Train_In!$C$37:$E$37,W$7)</f>
        <v>2</v>
      </c>
      <c r="X93" s="96" t="n">
        <f aca="false">INDEX(Train_In!$C$37:$E$37,X$7)</f>
        <v>3</v>
      </c>
      <c r="Y93" s="144" t="n">
        <f aca="false">INDEX(Train_In!$C$37:$E$37,Y$7)*Y$8</f>
        <v>0</v>
      </c>
      <c r="Z93" s="144" t="n">
        <f aca="false">INDEX(Train_In!$C$37:$E$37,Z$7)*Z$8</f>
        <v>0</v>
      </c>
      <c r="AA93" s="144" t="n">
        <f aca="false">INDEX(Train_In!$C$37:$E$37,AA$7)*AA$8</f>
        <v>6</v>
      </c>
      <c r="AB93" s="144" t="n">
        <f aca="false">INDEX(Train_In!$C$37:$E$37,AB$7)*AB$8</f>
        <v>9</v>
      </c>
      <c r="AC93" s="96" t="n">
        <f aca="false">INDEX(Train_In!$C$37:$E$37,AC$7)</f>
        <v>2</v>
      </c>
      <c r="AD93" s="96" t="n">
        <f aca="false">INDEX(Train_In!$C$37:$E$37,AD$7)</f>
        <v>3</v>
      </c>
      <c r="AE93" s="96" t="n">
        <f aca="false">INDEX(Train_In!$C$37:$E$37,AE$7)</f>
        <v>2</v>
      </c>
      <c r="AF93" s="96" t="n">
        <f aca="false">INDEX(Train_In!$C$37:$E$37,AF$7)</f>
        <v>3</v>
      </c>
      <c r="AG93" s="96" t="n">
        <f aca="false">INDEX(Train_In!$C$37:$E$37,AG$7)</f>
        <v>2</v>
      </c>
      <c r="AH93" s="96" t="n">
        <f aca="false">INDEX(Train_In!$C$37:$E$37,AH$7)</f>
        <v>3</v>
      </c>
    </row>
    <row r="94" customFormat="false" ht="15" hidden="false" customHeight="false" outlineLevel="0" collapsed="false">
      <c r="A94" s="58" t="s">
        <v>1062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  <c r="R94" s="87" t="n">
        <f aca="false">Train_In!$C$15</f>
        <v>3</v>
      </c>
      <c r="S94" s="87" t="n">
        <f aca="false">Train_In!$C$15</f>
        <v>3</v>
      </c>
      <c r="T94" s="87" t="n">
        <f aca="false">Train_In!$C$15</f>
        <v>3</v>
      </c>
      <c r="U94" s="87" t="n">
        <f aca="false">Train_In!$C$15</f>
        <v>3</v>
      </c>
      <c r="V94" s="87" t="n">
        <f aca="false">Train_In!$C$15</f>
        <v>3</v>
      </c>
      <c r="W94" s="87" t="n">
        <f aca="false">Train_In!$C$15</f>
        <v>3</v>
      </c>
      <c r="X94" s="87" t="n">
        <f aca="false">Train_In!$C$15</f>
        <v>3</v>
      </c>
      <c r="Y94" s="87" t="n">
        <f aca="false">Train_In!$C$15</f>
        <v>3</v>
      </c>
      <c r="Z94" s="87" t="n">
        <f aca="false">Train_In!$C$15</f>
        <v>3</v>
      </c>
      <c r="AA94" s="87" t="n">
        <f aca="false">Train_In!$C$15</f>
        <v>3</v>
      </c>
      <c r="AB94" s="87" t="n">
        <f aca="false">Train_In!$C$15</f>
        <v>3</v>
      </c>
      <c r="AC94" s="87" t="n">
        <f aca="false">Train_In!$C$15</f>
        <v>3</v>
      </c>
      <c r="AD94" s="87" t="n">
        <f aca="false">Train_In!$C$15</f>
        <v>3</v>
      </c>
      <c r="AE94" s="87" t="n">
        <f aca="false">Train_In!$C$15</f>
        <v>3</v>
      </c>
      <c r="AF94" s="87" t="n">
        <f aca="false">Train_In!$C$15</f>
        <v>3</v>
      </c>
      <c r="AG94" s="87" t="n">
        <f aca="false">Train_In!$C$15</f>
        <v>3</v>
      </c>
      <c r="AH94" s="87" t="n">
        <f aca="false">Train_In!$C$15</f>
        <v>3</v>
      </c>
    </row>
    <row r="95" customFormat="false" ht="15" hidden="false" customHeight="false" outlineLevel="0" collapsed="false">
      <c r="A95" s="58" t="s">
        <v>1063</v>
      </c>
      <c r="B95" s="59" t="s">
        <v>791</v>
      </c>
      <c r="C95" s="96" t="n">
        <f aca="false">INDEX(Perf_Batch!$C$103:$Q$103,3*(C$6-1)+C94)</f>
        <v>1060.88763337202</v>
      </c>
      <c r="D95" s="96" t="n">
        <f aca="false">INDEX(Perf_Batch!$C$103:$Q$103,3*(D$6-1)+D94)</f>
        <v>1060.88763337202</v>
      </c>
      <c r="E95" s="96" t="n">
        <f aca="false">INDEX(Perf_Batch!$C$103:$Q$103,3*(E$6-1)+E94)</f>
        <v>1060.88763337202</v>
      </c>
      <c r="F95" s="96" t="n">
        <f aca="false">INDEX(Perf_Batch!$C$103:$Q$103,3*(F$6-1)+F94)</f>
        <v>1060.88763337202</v>
      </c>
      <c r="G95" s="96" t="n">
        <f aca="false">INDEX(Perf_Batch!$C$103:$Q$103,3*(G$6-1)+G94)</f>
        <v>1060.88763337202</v>
      </c>
      <c r="H95" s="96" t="n">
        <f aca="false">INDEX(Perf_Batch!$C$103:$Q$103,3*(H$6-1)+H94)</f>
        <v>1060.88763337202</v>
      </c>
      <c r="I95" s="96" t="n">
        <f aca="false">INDEX(Perf_Batch!$C$103:$Q$103,3*(I$6-1)+I94)</f>
        <v>1060.88763337202</v>
      </c>
      <c r="J95" s="96" t="n">
        <f aca="false">INDEX(Perf_Batch!$C$103:$Q$103,3*(J$6-1)+J94)</f>
        <v>1060.88763337202</v>
      </c>
      <c r="K95" s="96" t="n">
        <f aca="false">INDEX(Perf_Batch!$C$103:$Q$103,3*(K$6-1)+K94)</f>
        <v>1060.88763337202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1060.88763337202</v>
      </c>
      <c r="P95" s="96" t="n">
        <f aca="false">INDEX(Perf_Batch!$C$103:$Q$103,3*(P$6-1)+P94)</f>
        <v>1060.88763337202</v>
      </c>
      <c r="Q95" s="96" t="n">
        <f aca="false">INDEX(Perf_Batch!$C$103:$Q$103,3*(Q$6-1)+Q94)</f>
        <v>1060.88763337202</v>
      </c>
      <c r="R95" s="96" t="n">
        <f aca="false">INDEX(Perf_Batch!$C$103:$Q$103,3*(R$6-1)+R94)</f>
        <v>1060.88763337202</v>
      </c>
      <c r="S95" s="96" t="n">
        <f aca="false">INDEX(Perf_Batch!$C$103:$Q$103,3*(S$6-1)+S94)</f>
        <v>1060.88763337202</v>
      </c>
      <c r="T95" s="96" t="n">
        <f aca="false">INDEX(Perf_Batch!$C$103:$Q$103,3*(T$6-1)+T94)</f>
        <v>1060.88763337202</v>
      </c>
      <c r="U95" s="96" t="n">
        <f aca="false">INDEX(Perf_Batch!$C$103:$Q$103,3*(U$6-1)+U94)</f>
        <v>1060.88763337202</v>
      </c>
      <c r="V95" s="96" t="n">
        <f aca="false">INDEX(Perf_Batch!$C$103:$Q$103,3*(V$6-1)+V94)</f>
        <v>1060.88763337202</v>
      </c>
      <c r="W95" s="96" t="n">
        <f aca="false">INDEX(Perf_Batch!$C$103:$Q$103,3*(W$6-1)+W94)</f>
        <v>1060.88763337202</v>
      </c>
      <c r="X95" s="96" t="n">
        <f aca="false">INDEX(Perf_Batch!$C$103:$Q$103,3*(X$6-1)+X94)</f>
        <v>1060.88763337202</v>
      </c>
      <c r="Y95" s="96" t="n">
        <f aca="false">INDEX(Perf_Batch!$C$103:$Q$103,3*(Y$6-1)+Y94)</f>
        <v>1060.88763337202</v>
      </c>
      <c r="Z95" s="96" t="n">
        <f aca="false">INDEX(Perf_Batch!$C$103:$Q$103,3*(Z$6-1)+Z94)</f>
        <v>1060.88763337202</v>
      </c>
      <c r="AA95" s="96" t="n">
        <f aca="false">INDEX(Perf_Batch!$C$103:$Q$103,3*(AA$6-1)+AA94)</f>
        <v>1060.88763337202</v>
      </c>
      <c r="AB95" s="96" t="n">
        <f aca="false">INDEX(Perf_Batch!$C$103:$Q$103,3*(AB$6-1)+AB94)</f>
        <v>1060.88763337202</v>
      </c>
      <c r="AC95" s="96" t="n">
        <f aca="false">INDEX(Perf_Batch!$C$103:$Q$103,3*(AC$6-1)+AC94)</f>
        <v>1060.88763337202</v>
      </c>
      <c r="AD95" s="96" t="n">
        <f aca="false">INDEX(Perf_Batch!$C$103:$Q$103,3*(AD$6-1)+AD94)</f>
        <v>1060.88763337202</v>
      </c>
      <c r="AE95" s="96" t="n">
        <f aca="false">INDEX(Perf_Batch!$C$103:$Q$103,3*(AE$6-1)+AE94)</f>
        <v>1060.88763337202</v>
      </c>
      <c r="AF95" s="96" t="n">
        <f aca="false">INDEX(Perf_Batch!$C$103:$Q$103,3*(AF$6-1)+AF94)</f>
        <v>1060.88763337202</v>
      </c>
      <c r="AG95" s="96" t="n">
        <f aca="false">INDEX(Perf_Batch!$C$103:$Q$103,3*(AG$6-1)+AG94)</f>
        <v>1060.88763337202</v>
      </c>
      <c r="AH95" s="96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1064</v>
      </c>
      <c r="B96" s="59" t="s">
        <v>481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  <c r="R96" s="96" t="n">
        <f aca="false">INDEX(Perf_Batch!$C$65:$Q$65,3*(R$6-1)+R94)</f>
        <v>521.0612736</v>
      </c>
      <c r="S96" s="96" t="n">
        <f aca="false">INDEX(Perf_Batch!$C$65:$Q$65,3*(S$6-1)+S94)</f>
        <v>521.0612736</v>
      </c>
      <c r="T96" s="96" t="n">
        <f aca="false">INDEX(Perf_Batch!$C$65:$Q$65,3*(T$6-1)+T94)</f>
        <v>521.0612736</v>
      </c>
      <c r="U96" s="96" t="n">
        <f aca="false">INDEX(Perf_Batch!$C$65:$Q$65,3*(U$6-1)+U94)</f>
        <v>521.0612736</v>
      </c>
      <c r="V96" s="96" t="n">
        <f aca="false">INDEX(Perf_Batch!$C$65:$Q$65,3*(V$6-1)+V94)</f>
        <v>521.0612736</v>
      </c>
      <c r="W96" s="96" t="n">
        <f aca="false">INDEX(Perf_Batch!$C$65:$Q$65,3*(W$6-1)+W94)</f>
        <v>521.0612736</v>
      </c>
      <c r="X96" s="96" t="n">
        <f aca="false">INDEX(Perf_Batch!$C$65:$Q$65,3*(X$6-1)+X94)</f>
        <v>521.0612736</v>
      </c>
      <c r="Y96" s="96" t="n">
        <f aca="false">INDEX(Perf_Batch!$C$65:$Q$65,3*(Y$6-1)+Y94)</f>
        <v>521.0612736</v>
      </c>
      <c r="Z96" s="96" t="n">
        <f aca="false">INDEX(Perf_Batch!$C$65:$Q$65,3*(Z$6-1)+Z94)</f>
        <v>521.0612736</v>
      </c>
      <c r="AA96" s="96" t="n">
        <f aca="false">INDEX(Perf_Batch!$C$65:$Q$65,3*(AA$6-1)+AA94)</f>
        <v>521.0612736</v>
      </c>
      <c r="AB96" s="96" t="n">
        <f aca="false">INDEX(Perf_Batch!$C$65:$Q$65,3*(AB$6-1)+AB94)</f>
        <v>521.0612736</v>
      </c>
      <c r="AC96" s="96" t="n">
        <f aca="false">INDEX(Perf_Batch!$C$65:$Q$65,3*(AC$6-1)+AC94)</f>
        <v>521.0612736</v>
      </c>
      <c r="AD96" s="96" t="n">
        <f aca="false">INDEX(Perf_Batch!$C$65:$Q$65,3*(AD$6-1)+AD94)</f>
        <v>521.0612736</v>
      </c>
      <c r="AE96" s="96" t="n">
        <f aca="false">INDEX(Perf_Batch!$C$65:$Q$65,3*(AE$6-1)+AE94)</f>
        <v>521.0612736</v>
      </c>
      <c r="AF96" s="96" t="n">
        <f aca="false">INDEX(Perf_Batch!$C$65:$Q$65,3*(AF$6-1)+AF94)</f>
        <v>521.0612736</v>
      </c>
      <c r="AG96" s="96" t="n">
        <f aca="false">INDEX(Perf_Batch!$C$65:$Q$65,3*(AG$6-1)+AG94)</f>
        <v>521.0612736</v>
      </c>
      <c r="AH96" s="96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1065</v>
      </c>
      <c r="B97" s="59" t="s">
        <v>1010</v>
      </c>
      <c r="C97" s="65" t="n">
        <f aca="false">IF(AND(ISNUMBER(C95)),C93*1000000*C95/3600,"SLO 不可達")</f>
        <v>589382.018540014</v>
      </c>
      <c r="D97" s="65" t="n">
        <f aca="false">IF(AND(ISNUMBER(D95)),D93*1000000*D95/3600,"SLO 不可達")</f>
        <v>884073.027810021</v>
      </c>
      <c r="E97" s="65" t="n">
        <f aca="false">IF(AND(ISNUMBER(E95)),E93*1000000*E95/3600,"SLO 不可達")</f>
        <v>589382.018540014</v>
      </c>
      <c r="F97" s="65" t="n">
        <f aca="false">IF(AND(ISNUMBER(F95)),F93*1000000*F95/3600,"SLO 不可達")</f>
        <v>884073.027810021</v>
      </c>
      <c r="G97" s="65" t="n">
        <f aca="false">IF(AND(ISNUMBER(G95)),G93*1000000*G95/3600,"SLO 不可達")</f>
        <v>589382.018540014</v>
      </c>
      <c r="H97" s="65" t="n">
        <f aca="false">IF(AND(ISNUMBER(H95)),H93*1000000*H95/3600,"SLO 不可達")</f>
        <v>884073.027810021</v>
      </c>
      <c r="I97" s="65" t="n">
        <f aca="false">IF(AND(ISNUMBER(I95)),I93*1000000*I95/3600,"SLO 不可達")</f>
        <v>589382.018540014</v>
      </c>
      <c r="J97" s="65" t="n">
        <f aca="false">IF(AND(ISNUMBER(J95)),J93*1000000*J95/3600,"SLO 不可達")</f>
        <v>884073.027810021</v>
      </c>
      <c r="K97" s="65" t="n">
        <f aca="false">IF(AND(ISNUMBER(K95)),K93*1000000*K95/3600,"SLO 不可達")</f>
        <v>589382.018540014</v>
      </c>
      <c r="L97" s="65" t="n">
        <f aca="false">IF(AND(ISNUMBER(L95)),L93*1000000*L95/3600,"SLO 不可達")</f>
        <v>884073.027810021</v>
      </c>
      <c r="M97" s="65" t="n">
        <f aca="false">IF(AND(ISNUMBER(M95)),M93*1000000*M95/3600,"SLO 不可達")</f>
        <v>589382.018540014</v>
      </c>
      <c r="N97" s="65" t="n">
        <f aca="false">IF(AND(ISNUMBER(N95)),N93*1000000*N95/3600,"SLO 不可達")</f>
        <v>884073.027810021</v>
      </c>
      <c r="O97" s="65" t="n">
        <f aca="false">IF(AND(ISNUMBER(O95)),O93*1000000*O95/3600,"SLO 不可達")</f>
        <v>589382.018540014</v>
      </c>
      <c r="P97" s="65" t="n">
        <f aca="false">IF(AND(ISNUMBER(P95)),P93*1000000*P95/3600,"SLO 不可達")</f>
        <v>884073.027810021</v>
      </c>
      <c r="Q97" s="65" t="n">
        <f aca="false">IF(AND(ISNUMBER(Q95)),Q93*1000000*Q95/3600,"SLO 不可達")</f>
        <v>589382.018540014</v>
      </c>
      <c r="R97" s="65" t="n">
        <f aca="false">IF(AND(ISNUMBER(R95)),R93*1000000*R95/3600,"SLO 不可達")</f>
        <v>884073.027810021</v>
      </c>
      <c r="S97" s="65" t="n">
        <f aca="false">IF(AND(ISNUMBER(S95)),S93*1000000*S95/3600,"SLO 不可達")</f>
        <v>589382.018540014</v>
      </c>
      <c r="T97" s="65" t="n">
        <f aca="false">IF(AND(ISNUMBER(T95)),T93*1000000*T95/3600,"SLO 不可達")</f>
        <v>884073.027810021</v>
      </c>
      <c r="U97" s="65" t="n">
        <f aca="false">IF(AND(ISNUMBER(U95)),U93*1000000*U95/3600,"SLO 不可達")</f>
        <v>589382.018540014</v>
      </c>
      <c r="V97" s="65" t="n">
        <f aca="false">IF(AND(ISNUMBER(V95)),V93*1000000*V95/3600,"SLO 不可達")</f>
        <v>884073.027810021</v>
      </c>
      <c r="W97" s="65" t="n">
        <f aca="false">IF(AND(ISNUMBER(W95)),W93*1000000*W95/3600,"SLO 不可達")</f>
        <v>589382.018540014</v>
      </c>
      <c r="X97" s="65" t="n">
        <f aca="false">IF(AND(ISNUMBER(X95)),X93*1000000*X95/3600,"SLO 不可達")</f>
        <v>884073.027810021</v>
      </c>
      <c r="Y97" s="65" t="n">
        <f aca="false">IF(AND(ISNUMBER(Y95)),Y93*1000000*Y95/3600,"SLO 不可達")</f>
        <v>0</v>
      </c>
      <c r="Z97" s="65" t="n">
        <f aca="false">IF(AND(ISNUMBER(Z95)),Z93*1000000*Z95/3600,"SLO 不可達")</f>
        <v>0</v>
      </c>
      <c r="AA97" s="65" t="n">
        <f aca="false">IF(AND(ISNUMBER(AA95)),AA93*1000000*AA95/3600,"SLO 不可達")</f>
        <v>1768146.05562004</v>
      </c>
      <c r="AB97" s="65" t="n">
        <f aca="false">IF(AND(ISNUMBER(AB95)),AB93*1000000*AB95/3600,"SLO 不可達")</f>
        <v>2652219.08343006</v>
      </c>
      <c r="AC97" s="65" t="n">
        <f aca="false">IF(AND(ISNUMBER(AC95)),AC93*1000000*AC95/3600,"SLO 不可達")</f>
        <v>589382.018540014</v>
      </c>
      <c r="AD97" s="65" t="n">
        <f aca="false">IF(AND(ISNUMBER(AD95)),AD93*1000000*AD95/3600,"SLO 不可達")</f>
        <v>884073.027810021</v>
      </c>
      <c r="AE97" s="65" t="n">
        <f aca="false">IF(AND(ISNUMBER(AE95)),AE93*1000000*AE95/3600,"SLO 不可達")</f>
        <v>589382.018540014</v>
      </c>
      <c r="AF97" s="65" t="n">
        <f aca="false">IF(AND(ISNUMBER(AF95)),AF93*1000000*AF95/3600,"SLO 不可達")</f>
        <v>884073.027810021</v>
      </c>
      <c r="AG97" s="65" t="n">
        <f aca="false">IF(AND(ISNUMBER(AG95)),AG93*1000000*AG95/3600,"SLO 不可達")</f>
        <v>589382.018540014</v>
      </c>
      <c r="AH97" s="65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58" t="s">
        <v>1066</v>
      </c>
      <c r="B98" s="59" t="s">
        <v>301</v>
      </c>
      <c r="C98" s="142" t="n">
        <f aca="false">C93*1000000000000*C96*1000000000</f>
        <v>1.0421225472E+024</v>
      </c>
      <c r="D98" s="142" t="n">
        <f aca="false">D93*1000000000000*D96*1000000000</f>
        <v>1.5631838208E+024</v>
      </c>
      <c r="E98" s="142" t="n">
        <f aca="false">E93*1000000000000*E96*1000000000</f>
        <v>1.0421225472E+024</v>
      </c>
      <c r="F98" s="142" t="n">
        <f aca="false">F93*1000000000000*F96*1000000000</f>
        <v>1.5631838208E+024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1.0421225472E+024</v>
      </c>
      <c r="J98" s="142" t="n">
        <f aca="false">J93*1000000000000*J96*1000000000</f>
        <v>1.5631838208E+024</v>
      </c>
      <c r="K98" s="142" t="n">
        <f aca="false">K93*1000000000000*K96*1000000000</f>
        <v>1.0421225472E+024</v>
      </c>
      <c r="L98" s="142" t="n">
        <f aca="false">L93*1000000000000*L96*1000000000</f>
        <v>1.5631838208E+024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1.0421225472E+024</v>
      </c>
      <c r="P98" s="142" t="n">
        <f aca="false">P93*1000000000000*P96*1000000000</f>
        <v>1.5631838208E+024</v>
      </c>
      <c r="Q98" s="142" t="n">
        <f aca="false">Q93*1000000000000*Q96*1000000000</f>
        <v>1.0421225472E+024</v>
      </c>
      <c r="R98" s="142" t="n">
        <f aca="false">R93*1000000000000*R96*1000000000</f>
        <v>1.5631838208E+024</v>
      </c>
      <c r="S98" s="142" t="n">
        <f aca="false">S93*1000000000000*S96*1000000000</f>
        <v>1.0421225472E+024</v>
      </c>
      <c r="T98" s="142" t="n">
        <f aca="false">T93*1000000000000*T96*1000000000</f>
        <v>1.5631838208E+024</v>
      </c>
      <c r="U98" s="142" t="n">
        <f aca="false">U93*1000000000000*U96*1000000000</f>
        <v>1.0421225472E+024</v>
      </c>
      <c r="V98" s="142" t="n">
        <f aca="false">V93*1000000000000*V96*1000000000</f>
        <v>1.5631838208E+024</v>
      </c>
      <c r="W98" s="142" t="n">
        <f aca="false">W93*1000000000000*W96*1000000000</f>
        <v>1.0421225472E+024</v>
      </c>
      <c r="X98" s="142" t="n">
        <f aca="false">X93*1000000000000*X96*1000000000</f>
        <v>1.5631838208E+024</v>
      </c>
      <c r="Y98" s="142" t="n">
        <f aca="false">Y93*1000000000000*Y96*1000000000</f>
        <v>0</v>
      </c>
      <c r="Z98" s="142" t="n">
        <f aca="false">Z93*1000000000000*Z96*1000000000</f>
        <v>0</v>
      </c>
      <c r="AA98" s="142" t="n">
        <f aca="false">AA93*1000000000000*AA96*1000000000</f>
        <v>3.1263676416E+024</v>
      </c>
      <c r="AB98" s="142" t="n">
        <f aca="false">AB93*1000000000000*AB96*1000000000</f>
        <v>4.6895514624E+024</v>
      </c>
      <c r="AC98" s="142" t="n">
        <f aca="false">AC93*1000000000000*AC96*1000000000</f>
        <v>1.0421225472E+024</v>
      </c>
      <c r="AD98" s="142" t="n">
        <f aca="false">AD93*1000000000000*AD96*1000000000</f>
        <v>1.5631838208E+024</v>
      </c>
      <c r="AE98" s="142" t="n">
        <f aca="false">AE93*1000000000000*AE96*1000000000</f>
        <v>1.0421225472E+024</v>
      </c>
      <c r="AF98" s="142" t="n">
        <f aca="false">AF93*1000000000000*AF96*1000000000</f>
        <v>1.5631838208E+024</v>
      </c>
      <c r="AG98" s="142" t="n">
        <f aca="false">AG93*1000000000000*AG96*1000000000</f>
        <v>1.0421225472E+024</v>
      </c>
      <c r="AH98" s="142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965</v>
      </c>
      <c r="B99" s="59" t="s">
        <v>942</v>
      </c>
      <c r="C99" s="93" t="n">
        <f aca="false">INDEX(Train_In!$C$38:$E$38,C$7)</f>
        <v>0.05</v>
      </c>
      <c r="D99" s="93" t="n">
        <f aca="false">INDEX(Train_In!$C$38:$E$38,D$7)</f>
        <v>0.1</v>
      </c>
      <c r="E99" s="93" t="n">
        <f aca="false">INDEX(Train_In!$C$38:$E$38,E$7)</f>
        <v>0.05</v>
      </c>
      <c r="F99" s="93" t="n">
        <f aca="false">INDEX(Train_In!$C$38:$E$38,F$7)</f>
        <v>0.1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0.05</v>
      </c>
      <c r="J99" s="93" t="n">
        <f aca="false">INDEX(Train_In!$C$38:$E$38,J$7)</f>
        <v>0.1</v>
      </c>
      <c r="K99" s="93" t="n">
        <f aca="false">INDEX(Train_In!$C$38:$E$38,K$7)</f>
        <v>0.05</v>
      </c>
      <c r="L99" s="93" t="n">
        <f aca="false">INDEX(Train_In!$C$38:$E$38,L$7)</f>
        <v>0.1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0.05</v>
      </c>
      <c r="P99" s="93" t="n">
        <f aca="false">INDEX(Train_In!$C$38:$E$38,P$7)</f>
        <v>0.1</v>
      </c>
      <c r="Q99" s="93" t="n">
        <f aca="false">INDEX(Train_In!$C$38:$E$38,Q$7)</f>
        <v>0.05</v>
      </c>
      <c r="R99" s="93" t="n">
        <f aca="false">INDEX(Train_In!$C$38:$E$38,R$7)</f>
        <v>0.1</v>
      </c>
      <c r="S99" s="93" t="n">
        <f aca="false">INDEX(Train_In!$C$38:$E$38,S$7)</f>
        <v>0.05</v>
      </c>
      <c r="T99" s="93" t="n">
        <f aca="false">INDEX(Train_In!$C$38:$E$38,T$7)</f>
        <v>0.1</v>
      </c>
      <c r="U99" s="93" t="n">
        <f aca="false">INDEX(Train_In!$C$38:$E$38,U$7)</f>
        <v>0.05</v>
      </c>
      <c r="V99" s="93" t="n">
        <f aca="false">INDEX(Train_In!$C$38:$E$38,V$7)</f>
        <v>0.1</v>
      </c>
      <c r="W99" s="93" t="n">
        <f aca="false">INDEX(Train_In!$C$38:$E$38,W$7)</f>
        <v>0.05</v>
      </c>
      <c r="X99" s="93" t="n">
        <f aca="false">INDEX(Train_In!$C$38:$E$38,X$7)</f>
        <v>0.1</v>
      </c>
      <c r="Y99" s="93" t="n">
        <f aca="false">INDEX(Train_In!$C$38:$E$38,Y$7)</f>
        <v>0.05</v>
      </c>
      <c r="Z99" s="93" t="n">
        <f aca="false">INDEX(Train_In!$C$38:$E$38,Z$7)</f>
        <v>0.1</v>
      </c>
      <c r="AA99" s="93" t="n">
        <f aca="false">INDEX(Train_In!$C$38:$E$38,AA$7)</f>
        <v>0.05</v>
      </c>
      <c r="AB99" s="93" t="n">
        <f aca="false">INDEX(Train_In!$C$38:$E$38,AB$7)</f>
        <v>0.1</v>
      </c>
      <c r="AC99" s="93" t="n">
        <f aca="false">INDEX(Train_In!$C$38:$E$38,AC$7)</f>
        <v>0.05</v>
      </c>
      <c r="AD99" s="93" t="n">
        <f aca="false">INDEX(Train_In!$C$38:$E$38,AD$7)</f>
        <v>0.1</v>
      </c>
      <c r="AE99" s="93" t="n">
        <f aca="false">INDEX(Train_In!$C$38:$E$38,AE$7)</f>
        <v>0.05</v>
      </c>
      <c r="AF99" s="93" t="n">
        <f aca="false">INDEX(Train_In!$C$38:$E$38,AF$7)</f>
        <v>0.1</v>
      </c>
      <c r="AG99" s="93" t="n">
        <f aca="false">INDEX(Train_In!$C$38:$E$38,AG$7)</f>
        <v>0.05</v>
      </c>
      <c r="AH99" s="93" t="n">
        <f aca="false">INDEX(Train_In!$C$38:$E$38,AH$7)</f>
        <v>0.1</v>
      </c>
    </row>
    <row r="100" customFormat="false" ht="15" hidden="false" customHeight="false" outlineLevel="0" collapsed="false">
      <c r="A100" s="58" t="s">
        <v>1067</v>
      </c>
      <c r="B100" s="59" t="s">
        <v>1010</v>
      </c>
      <c r="C100" s="65" t="n">
        <f aca="false">IF(AND(ISNUMBER(C59)),C99*1000000*C59/3600,"SLO 不可達")</f>
        <v>3456.38955362504</v>
      </c>
      <c r="D100" s="65" t="n">
        <f aca="false">IF(AND(ISNUMBER(D59)),D99*1000000*D59/3600,"SLO 不可達")</f>
        <v>29469.1009270007</v>
      </c>
      <c r="E100" s="65" t="n">
        <f aca="false">IF(AND(ISNUMBER(E59)),E99*1000000*E59/3600,"SLO 不可達")</f>
        <v>3456.38955362504</v>
      </c>
      <c r="F100" s="65" t="n">
        <f aca="false">IF(AND(ISNUMBER(F59)),F99*1000000*F59/3600,"SLO 不可達")</f>
        <v>29469.1009270007</v>
      </c>
      <c r="G100" s="65" t="n">
        <f aca="false">IF(AND(ISNUMBER(G59)),G99*1000000*G59/3600,"SLO 不可達")</f>
        <v>3456.38955362504</v>
      </c>
      <c r="H100" s="65" t="n">
        <f aca="false">IF(AND(ISNUMBER(H59)),H99*1000000*H59/3600,"SLO 不可達")</f>
        <v>29469.1009270007</v>
      </c>
      <c r="I100" s="65" t="n">
        <f aca="false">IF(AND(ISNUMBER(I59)),I99*1000000*I59/3600,"SLO 不可達")</f>
        <v>3456.38955362504</v>
      </c>
      <c r="J100" s="65" t="n">
        <f aca="false">IF(AND(ISNUMBER(J59)),J99*1000000*J59/3600,"SLO 不可達")</f>
        <v>29469.1009270007</v>
      </c>
      <c r="K100" s="65" t="n">
        <f aca="false">IF(AND(ISNUMBER(K59)),K99*1000000*K59/3600,"SLO 不可達")</f>
        <v>3456.38955362504</v>
      </c>
      <c r="L100" s="65" t="n">
        <f aca="false">IF(AND(ISNUMBER(L59)),L99*1000000*L59/3600,"SLO 不可達")</f>
        <v>29469.1009270007</v>
      </c>
      <c r="M100" s="65" t="n">
        <f aca="false">IF(AND(ISNUMBER(M59)),M99*1000000*M59/3600,"SLO 不可達")</f>
        <v>3456.38955362504</v>
      </c>
      <c r="N100" s="65" t="n">
        <f aca="false">IF(AND(ISNUMBER(N59)),N99*1000000*N59/3600,"SLO 不可達")</f>
        <v>29469.1009270007</v>
      </c>
      <c r="O100" s="65" t="n">
        <f aca="false">IF(AND(ISNUMBER(O59)),O99*1000000*O59/3600,"SLO 不可達")</f>
        <v>3456.38955362504</v>
      </c>
      <c r="P100" s="65" t="n">
        <f aca="false">IF(AND(ISNUMBER(P59)),P99*1000000*P59/3600,"SLO 不可達")</f>
        <v>29469.1009270007</v>
      </c>
      <c r="Q100" s="65" t="n">
        <f aca="false">IF(AND(ISNUMBER(Q59)),Q99*1000000*Q59/3600,"SLO 不可達")</f>
        <v>3456.38955362504</v>
      </c>
      <c r="R100" s="65" t="n">
        <f aca="false">IF(AND(ISNUMBER(R59)),R99*1000000*R59/3600,"SLO 不可達")</f>
        <v>29469.1009270007</v>
      </c>
      <c r="S100" s="65" t="n">
        <f aca="false">IF(AND(ISNUMBER(S59)),S99*1000000*S59/3600,"SLO 不可達")</f>
        <v>3456.38955362504</v>
      </c>
      <c r="T100" s="65" t="n">
        <f aca="false">IF(AND(ISNUMBER(T59)),T99*1000000*T59/3600,"SLO 不可達")</f>
        <v>29469.1009270007</v>
      </c>
      <c r="U100" s="65" t="n">
        <f aca="false">IF(AND(ISNUMBER(U59)),U99*1000000*U59/3600,"SLO 不可達")</f>
        <v>3456.38955362504</v>
      </c>
      <c r="V100" s="65" t="n">
        <f aca="false">IF(AND(ISNUMBER(V59)),V99*1000000*V59/3600,"SLO 不可達")</f>
        <v>29469.1009270007</v>
      </c>
      <c r="W100" s="65" t="n">
        <f aca="false">IF(AND(ISNUMBER(W59)),W99*1000000*W59/3600,"SLO 不可達")</f>
        <v>5229.55967698603</v>
      </c>
      <c r="X100" s="65" t="n">
        <f aca="false">IF(AND(ISNUMBER(X59)),X99*1000000*X59/3600,"SLO 不可達")</f>
        <v>44823.7966230092</v>
      </c>
      <c r="Y100" s="65" t="n">
        <f aca="false">IF(AND(ISNUMBER(Y59)),Y99*1000000*Y59/3600,"SLO 不可達")</f>
        <v>3456.38955362504</v>
      </c>
      <c r="Z100" s="65" t="n">
        <f aca="false">IF(AND(ISNUMBER(Z59)),Z99*1000000*Z59/3600,"SLO 不可達")</f>
        <v>29469.1009270007</v>
      </c>
      <c r="AA100" s="65" t="n">
        <f aca="false">IF(AND(ISNUMBER(AA59)),AA99*1000000*AA59/3600,"SLO 不可達")</f>
        <v>3456.38955362504</v>
      </c>
      <c r="AB100" s="65" t="n">
        <f aca="false">IF(AND(ISNUMBER(AB59)),AB99*1000000*AB59/3600,"SLO 不可達")</f>
        <v>29469.1009270007</v>
      </c>
      <c r="AC100" s="65" t="n">
        <f aca="false">IF(AND(ISNUMBER(AC59)),AC99*1000000*AC59/3600,"SLO 不可達")</f>
        <v>3456.38955362504</v>
      </c>
      <c r="AD100" s="65" t="n">
        <f aca="false">IF(AND(ISNUMBER(AD59)),AD99*1000000*AD59/3600,"SLO 不可達")</f>
        <v>29469.1009270007</v>
      </c>
      <c r="AE100" s="65" t="n">
        <f aca="false">IF(AND(ISNUMBER(AE59)),AE99*1000000*AE59/3600,"SLO 不可達")</f>
        <v>3456.38955362504</v>
      </c>
      <c r="AF100" s="65" t="n">
        <f aca="false">IF(AND(ISNUMBER(AF59)),AF99*1000000*AF59/3600,"SLO 不可達")</f>
        <v>29469.1009270007</v>
      </c>
      <c r="AG100" s="65" t="n">
        <f aca="false">IF(AND(ISNUMBER(AG59)),AG99*1000000*AG59/3600,"SLO 不可達")</f>
        <v>3456.38955362504</v>
      </c>
      <c r="AH100" s="65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58" t="s">
        <v>1068</v>
      </c>
      <c r="B101" s="59" t="s">
        <v>301</v>
      </c>
      <c r="C101" s="142" t="n">
        <f aca="false">C99*1000000000000*C61*1000000000</f>
        <v>6.6655872356352E+021</v>
      </c>
      <c r="D101" s="142" t="n">
        <f aca="false">D99*1000000000000*D61*1000000000</f>
        <v>5.210612736E+022</v>
      </c>
      <c r="E101" s="142" t="n">
        <f aca="false">E99*1000000000000*E61*1000000000</f>
        <v>6.6655872356352E+021</v>
      </c>
      <c r="F101" s="142" t="n">
        <f aca="false">F99*1000000000000*F61*1000000000</f>
        <v>5.210612736E+022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6.6655872356352E+021</v>
      </c>
      <c r="J101" s="142" t="n">
        <f aca="false">J99*1000000000000*J61*1000000000</f>
        <v>5.210612736E+022</v>
      </c>
      <c r="K101" s="142" t="n">
        <f aca="false">K99*1000000000000*K61*1000000000</f>
        <v>6.6655872356352E+021</v>
      </c>
      <c r="L101" s="142" t="n">
        <f aca="false">L99*1000000000000*L61*1000000000</f>
        <v>5.210612736E+022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6.6655872356352E+021</v>
      </c>
      <c r="P101" s="142" t="n">
        <f aca="false">P99*1000000000000*P61*1000000000</f>
        <v>5.210612736E+022</v>
      </c>
      <c r="Q101" s="142" t="n">
        <f aca="false">Q99*1000000000000*Q61*1000000000</f>
        <v>6.6655872356352E+021</v>
      </c>
      <c r="R101" s="142" t="n">
        <f aca="false">R99*1000000000000*R61*1000000000</f>
        <v>5.210612736E+022</v>
      </c>
      <c r="S101" s="142" t="n">
        <f aca="false">S99*1000000000000*S61*1000000000</f>
        <v>6.6655872356352E+021</v>
      </c>
      <c r="T101" s="142" t="n">
        <f aca="false">T99*1000000000000*T61*1000000000</f>
        <v>5.210612736E+022</v>
      </c>
      <c r="U101" s="142" t="n">
        <f aca="false">U99*1000000000000*U61*1000000000</f>
        <v>6.6655872356352E+021</v>
      </c>
      <c r="V101" s="142" t="n">
        <f aca="false">V99*1000000000000*V61*1000000000</f>
        <v>5.210612736E+022</v>
      </c>
      <c r="W101" s="142" t="n">
        <f aca="false">W99*1000000000000*W61*1000000000</f>
        <v>6.6655872356352E+021</v>
      </c>
      <c r="X101" s="142" t="n">
        <f aca="false">X99*1000000000000*X61*1000000000</f>
        <v>5.210612736E+022</v>
      </c>
      <c r="Y101" s="142" t="n">
        <f aca="false">Y99*1000000000000*Y61*1000000000</f>
        <v>6.6655872356352E+021</v>
      </c>
      <c r="Z101" s="142" t="n">
        <f aca="false">Z99*1000000000000*Z61*1000000000</f>
        <v>5.210612736E+022</v>
      </c>
      <c r="AA101" s="142" t="n">
        <f aca="false">AA99*1000000000000*AA61*1000000000</f>
        <v>6.6655872356352E+021</v>
      </c>
      <c r="AB101" s="142" t="n">
        <f aca="false">AB99*1000000000000*AB61*1000000000</f>
        <v>5.210612736E+022</v>
      </c>
      <c r="AC101" s="142" t="n">
        <f aca="false">AC99*1000000000000*AC61*1000000000</f>
        <v>6.6655872356352E+021</v>
      </c>
      <c r="AD101" s="142" t="n">
        <f aca="false">AD99*1000000000000*AD61*1000000000</f>
        <v>5.210612736E+022</v>
      </c>
      <c r="AE101" s="142" t="n">
        <f aca="false">AE99*1000000000000*AE61*1000000000</f>
        <v>6.6655872356352E+021</v>
      </c>
      <c r="AF101" s="142" t="n">
        <f aca="false">AF99*1000000000000*AF61*1000000000</f>
        <v>5.210612736E+022</v>
      </c>
      <c r="AG101" s="142" t="n">
        <f aca="false">AG99*1000000000000*AG61*1000000000</f>
        <v>6.6655872356352E+021</v>
      </c>
      <c r="AH101" s="14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1069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8" t="s">
        <v>1070</v>
      </c>
      <c r="B103" s="59" t="s">
        <v>1010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8" t="s">
        <v>1071</v>
      </c>
      <c r="B104" s="59" t="s">
        <v>1010</v>
      </c>
      <c r="C104" s="65" t="n">
        <f aca="false">IF(AND(ISNUMBER(C75),ISNUMBER(C90)),C51+C75+C90,"SLO 不可達")</f>
        <v>411736.625794877</v>
      </c>
      <c r="D104" s="65" t="n">
        <f aca="false">IF(AND(ISNUMBER(D75),ISNUMBER(D90)),D51+D75+D90,"SLO 不可達")</f>
        <v>6186311.43998631</v>
      </c>
      <c r="E104" s="65" t="n">
        <f aca="false">IF(AND(ISNUMBER(E75),ISNUMBER(E90)),E51+E75+E90,"SLO 不可達")</f>
        <v>546532.785128705</v>
      </c>
      <c r="F104" s="65" t="n">
        <f aca="false">IF(AND(ISNUMBER(F75),ISNUMBER(F90)),F51+F75+F90,"SLO 不可達")</f>
        <v>8040833.73153245</v>
      </c>
      <c r="G104" s="65" t="n">
        <f aca="false">IF(AND(ISNUMBER(G75),ISNUMBER(G90)),G51+G75+G90,"SLO 不可達")</f>
        <v>335913.786169599</v>
      </c>
      <c r="H104" s="65" t="n">
        <f aca="false">IF(AND(ISNUMBER(H75),ISNUMBER(H90)),H51+H75+H90,"SLO 不可達")</f>
        <v>5143142.6509916</v>
      </c>
      <c r="I104" s="65" t="n">
        <f aca="false">IF(AND(ISNUMBER(I75),ISNUMBER(I90)),I51+I75+I90,"SLO 不可達")</f>
        <v>310639.506294506</v>
      </c>
      <c r="J104" s="65" t="n">
        <f aca="false">IF(AND(ISNUMBER(J75),ISNUMBER(J90)),J51+J75+J90,"SLO 不可達")</f>
        <v>4795419.72132669</v>
      </c>
      <c r="K104" s="65" t="n">
        <f aca="false">IF(AND(ISNUMBER(K75),ISNUMBER(K90)),K51+K75+K90,"SLO 不可達")</f>
        <v>411736.625794877</v>
      </c>
      <c r="L104" s="65" t="n">
        <f aca="false">IF(AND(ISNUMBER(L75),ISNUMBER(L90)),L51+L75+L90,"SLO 不可達")</f>
        <v>6186311.43998631</v>
      </c>
      <c r="M104" s="65" t="n">
        <f aca="false">IF(AND(ISNUMBER(M75),ISNUMBER(M90)),M51+M75+M90,"SLO 不可達")</f>
        <v>411736.625794877</v>
      </c>
      <c r="N104" s="65" t="n">
        <f aca="false">IF(AND(ISNUMBER(N75),ISNUMBER(N90)),N51+N75+N90,"SLO 不可達")</f>
        <v>6186311.43998631</v>
      </c>
      <c r="O104" s="65" t="n">
        <f aca="false">IF(AND(ISNUMBER(O75),ISNUMBER(O90)),O51+O75+O90,"SLO 不可達")</f>
        <v>147954.371918772</v>
      </c>
      <c r="P104" s="65" t="n">
        <f aca="false">IF(AND(ISNUMBER(P75),ISNUMBER(P90)),P51+P75+P90,"SLO 不可達")</f>
        <v>1954462.06636931</v>
      </c>
      <c r="Q104" s="65" t="n">
        <f aca="false">IF(AND(ISNUMBER(Q75),ISNUMBER(Q90)),Q51+Q75+Q90,"SLO 不可達")</f>
        <v>1165400.20829803</v>
      </c>
      <c r="R104" s="65" t="n">
        <f aca="false">IF(AND(ISNUMBER(R75),ISNUMBER(R90)),R51+R75+R90,"SLO 不可達")</f>
        <v>18277309.6503206</v>
      </c>
      <c r="S104" s="65" t="n">
        <f aca="false">IF(AND(ISNUMBER(S75),ISNUMBER(S90)),S51+S75+S90,"SLO 不可達")</f>
        <v>498611.016884545</v>
      </c>
      <c r="T104" s="65" t="n">
        <f aca="false">IF(AND(ISNUMBER(T75),ISNUMBER(T90)),T51+T75+T90,"SLO 不可達")</f>
        <v>7603541.14573251</v>
      </c>
      <c r="U104" s="65" t="n">
        <f aca="false">IF(AND(ISNUMBER(U75),ISNUMBER(U90)),U51+U75+U90,"SLO 不可達")</f>
        <v>389789.411203803</v>
      </c>
      <c r="V104" s="65" t="n">
        <f aca="false">IF(AND(ISNUMBER(V75),ISNUMBER(V90)),V51+V75+V90,"SLO 不可達")</f>
        <v>5828274.46169253</v>
      </c>
      <c r="W104" s="65" t="n">
        <f aca="false">IF(AND(ISNUMBER(W75),ISNUMBER(W90)),W51+W75+W90,"SLO 不可達")</f>
        <v>518845.946963587</v>
      </c>
      <c r="X104" s="65" t="n">
        <f aca="false">IF(AND(ISNUMBER(X75),ISNUMBER(X90)),X51+X75+X90,"SLO 不可達")</f>
        <v>7960354.83655692</v>
      </c>
      <c r="Y104" s="65" t="n">
        <f aca="false">IF(AND(ISNUMBER(Y75),ISNUMBER(Y90)),Y51+Y75+Y90,"SLO 不可達")</f>
        <v>411736.625794877</v>
      </c>
      <c r="Z104" s="65" t="n">
        <f aca="false">IF(AND(ISNUMBER(Z75),ISNUMBER(Z90)),Z51+Z75+Z90,"SLO 不可達")</f>
        <v>6186311.43998631</v>
      </c>
      <c r="AA104" s="65" t="n">
        <f aca="false">IF(AND(ISNUMBER(AA75),ISNUMBER(AA90)),AA51+AA75+AA90,"SLO 不可達")</f>
        <v>411736.625794877</v>
      </c>
      <c r="AB104" s="65" t="n">
        <f aca="false">IF(AND(ISNUMBER(AB75),ISNUMBER(AB90)),AB51+AB75+AB90,"SLO 不可達")</f>
        <v>6186311.43998631</v>
      </c>
      <c r="AC104" s="65" t="n">
        <f aca="false">IF(AND(ISNUMBER(AC75),ISNUMBER(AC90)),AC51+AC75+AC90,"SLO 不可達")</f>
        <v>411736.625794877</v>
      </c>
      <c r="AD104" s="65" t="n">
        <f aca="false">IF(AND(ISNUMBER(AD75),ISNUMBER(AD90)),AD51+AD75+AD90,"SLO 不可達")</f>
        <v>6186311.43998631</v>
      </c>
      <c r="AE104" s="65" t="n">
        <f aca="false">IF(AND(ISNUMBER(AE75),ISNUMBER(AE90)),AE51+AE75+AE90,"SLO 不可達")</f>
        <v>411736.625794877</v>
      </c>
      <c r="AF104" s="65" t="n">
        <f aca="false">IF(AND(ISNUMBER(AF75),ISNUMBER(AF90)),AF51+AF75+AF90,"SLO 不可達")</f>
        <v>6186311.43998631</v>
      </c>
      <c r="AG104" s="65" t="n">
        <f aca="false">IF(AND(ISNUMBER(AG75),ISNUMBER(AG90)),AG51+AG75+AG90,"SLO 不可達")</f>
        <v>437010.90566997</v>
      </c>
      <c r="AH104" s="65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58" t="s">
        <v>1072</v>
      </c>
      <c r="B105" s="59" t="s">
        <v>1010</v>
      </c>
      <c r="C105" s="65" t="n">
        <f aca="false">IF(AND(ISNUMBER(C97),ISNUMBER(C100)),C97+C100,"SLO 不可達")</f>
        <v>592838.408093639</v>
      </c>
      <c r="D105" s="65" t="n">
        <f aca="false">IF(AND(ISNUMBER(D97),ISNUMBER(D100)),D97+D100,"SLO 不可達")</f>
        <v>913542.128737021</v>
      </c>
      <c r="E105" s="65" t="n">
        <f aca="false">IF(AND(ISNUMBER(E97),ISNUMBER(E100)),E97+E100,"SLO 不可達")</f>
        <v>592838.408093639</v>
      </c>
      <c r="F105" s="65" t="n">
        <f aca="false">IF(AND(ISNUMBER(F97),ISNUMBER(F100)),F97+F100,"SLO 不可達")</f>
        <v>913542.128737021</v>
      </c>
      <c r="G105" s="65" t="n">
        <f aca="false">IF(AND(ISNUMBER(G97),ISNUMBER(G100)),G97+G100,"SLO 不可達")</f>
        <v>592838.408093639</v>
      </c>
      <c r="H105" s="65" t="n">
        <f aca="false">IF(AND(ISNUMBER(H97),ISNUMBER(H100)),H97+H100,"SLO 不可達")</f>
        <v>913542.128737021</v>
      </c>
      <c r="I105" s="65" t="n">
        <f aca="false">IF(AND(ISNUMBER(I97),ISNUMBER(I100)),I97+I100,"SLO 不可達")</f>
        <v>592838.408093639</v>
      </c>
      <c r="J105" s="65" t="n">
        <f aca="false">IF(AND(ISNUMBER(J97),ISNUMBER(J100)),J97+J100,"SLO 不可達")</f>
        <v>913542.128737021</v>
      </c>
      <c r="K105" s="65" t="n">
        <f aca="false">IF(AND(ISNUMBER(K97),ISNUMBER(K100)),K97+K100,"SLO 不可達")</f>
        <v>592838.408093639</v>
      </c>
      <c r="L105" s="65" t="n">
        <f aca="false">IF(AND(ISNUMBER(L97),ISNUMBER(L100)),L97+L100,"SLO 不可達")</f>
        <v>913542.128737021</v>
      </c>
      <c r="M105" s="65" t="n">
        <f aca="false">IF(AND(ISNUMBER(M97),ISNUMBER(M100)),M97+M100,"SLO 不可達")</f>
        <v>592838.408093639</v>
      </c>
      <c r="N105" s="65" t="n">
        <f aca="false">IF(AND(ISNUMBER(N97),ISNUMBER(N100)),N97+N100,"SLO 不可達")</f>
        <v>913542.128737021</v>
      </c>
      <c r="O105" s="65" t="n">
        <f aca="false">IF(AND(ISNUMBER(O97),ISNUMBER(O100)),O97+O100,"SLO 不可達")</f>
        <v>592838.408093639</v>
      </c>
      <c r="P105" s="65" t="n">
        <f aca="false">IF(AND(ISNUMBER(P97),ISNUMBER(P100)),P97+P100,"SLO 不可達")</f>
        <v>913542.128737021</v>
      </c>
      <c r="Q105" s="65" t="n">
        <f aca="false">IF(AND(ISNUMBER(Q97),ISNUMBER(Q100)),Q97+Q100,"SLO 不可達")</f>
        <v>592838.408093639</v>
      </c>
      <c r="R105" s="65" t="n">
        <f aca="false">IF(AND(ISNUMBER(R97),ISNUMBER(R100)),R97+R100,"SLO 不可達")</f>
        <v>913542.128737021</v>
      </c>
      <c r="S105" s="65" t="n">
        <f aca="false">IF(AND(ISNUMBER(S97),ISNUMBER(S100)),S97+S100,"SLO 不可達")</f>
        <v>592838.408093639</v>
      </c>
      <c r="T105" s="65" t="n">
        <f aca="false">IF(AND(ISNUMBER(T97),ISNUMBER(T100)),T97+T100,"SLO 不可達")</f>
        <v>913542.128737021</v>
      </c>
      <c r="U105" s="65" t="n">
        <f aca="false">IF(AND(ISNUMBER(U97),ISNUMBER(U100)),U97+U100,"SLO 不可達")</f>
        <v>592838.408093639</v>
      </c>
      <c r="V105" s="65" t="n">
        <f aca="false">IF(AND(ISNUMBER(V97),ISNUMBER(V100)),V97+V100,"SLO 不可達")</f>
        <v>913542.128737021</v>
      </c>
      <c r="W105" s="65" t="n">
        <f aca="false">IF(AND(ISNUMBER(W97),ISNUMBER(W100)),W97+W100,"SLO 不可達")</f>
        <v>594611.578217</v>
      </c>
      <c r="X105" s="65" t="n">
        <f aca="false">IF(AND(ISNUMBER(X97),ISNUMBER(X100)),X97+X100,"SLO 不可達")</f>
        <v>928896.82443303</v>
      </c>
      <c r="Y105" s="65" t="n">
        <f aca="false">IF(AND(ISNUMBER(Y97),ISNUMBER(Y100)),Y97+Y100,"SLO 不可達")</f>
        <v>3456.38955362504</v>
      </c>
      <c r="Z105" s="65" t="n">
        <f aca="false">IF(AND(ISNUMBER(Z97),ISNUMBER(Z100)),Z97+Z100,"SLO 不可達")</f>
        <v>29469.1009270007</v>
      </c>
      <c r="AA105" s="65" t="n">
        <f aca="false">IF(AND(ISNUMBER(AA97),ISNUMBER(AA100)),AA97+AA100,"SLO 不可達")</f>
        <v>1771602.44517367</v>
      </c>
      <c r="AB105" s="65" t="n">
        <f aca="false">IF(AND(ISNUMBER(AB97),ISNUMBER(AB100)),AB97+AB100,"SLO 不可達")</f>
        <v>2681688.18435706</v>
      </c>
      <c r="AC105" s="65" t="n">
        <f aca="false">IF(AND(ISNUMBER(AC97),ISNUMBER(AC100)),AC97+AC100,"SLO 不可達")</f>
        <v>592838.408093639</v>
      </c>
      <c r="AD105" s="65" t="n">
        <f aca="false">IF(AND(ISNUMBER(AD97),ISNUMBER(AD100)),AD97+AD100,"SLO 不可達")</f>
        <v>913542.128737021</v>
      </c>
      <c r="AE105" s="65" t="n">
        <f aca="false">IF(AND(ISNUMBER(AE97),ISNUMBER(AE100)),AE97+AE100,"SLO 不可達")</f>
        <v>592838.408093639</v>
      </c>
      <c r="AF105" s="65" t="n">
        <f aca="false">IF(AND(ISNUMBER(AF97),ISNUMBER(AF100)),AF97+AF100,"SLO 不可達")</f>
        <v>913542.128737021</v>
      </c>
      <c r="AG105" s="65" t="n">
        <f aca="false">IF(AND(ISNUMBER(AG97),ISNUMBER(AG100)),AG97+AG100,"SLO 不可達")</f>
        <v>592838.408093639</v>
      </c>
      <c r="AH105" s="65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58" t="s">
        <v>1073</v>
      </c>
      <c r="B106" s="59" t="s">
        <v>1010</v>
      </c>
      <c r="C106" s="68" t="n">
        <f aca="false">IF(AND(ISNUMBER(C104),ISNUMBER(C105)),C103+C104+C105,"SLO 不可達")</f>
        <v>2051289.25958755</v>
      </c>
      <c r="D106" s="68" t="n">
        <f aca="false">IF(AND(ISNUMBER(D104),ISNUMBER(D105)),D103+D104+D105,"SLO 不可達")</f>
        <v>12784087.465584</v>
      </c>
      <c r="E106" s="68" t="n">
        <f aca="false">IF(AND(ISNUMBER(E104),ISNUMBER(E105)),E103+E104+E105,"SLO 不可達")</f>
        <v>2883894.90272074</v>
      </c>
      <c r="F106" s="68" t="n">
        <f aca="false">IF(AND(ISNUMBER(F104),ISNUMBER(F105)),F103+F104+F105,"SLO 不可達")</f>
        <v>18428099.0217039</v>
      </c>
      <c r="G106" s="68" t="n">
        <f aca="false">IF(AND(ISNUMBER(G104),ISNUMBER(G105)),G103+G104+G105,"SLO 不可達")</f>
        <v>1582948.58532514</v>
      </c>
      <c r="H106" s="68" t="n">
        <f aca="false">IF(AND(ISNUMBER(H104),ISNUMBER(H105)),H103+H104+H105,"SLO 不可達")</f>
        <v>9609330.96526654</v>
      </c>
      <c r="I106" s="68" t="n">
        <f aca="false">IF(AND(ISNUMBER(I104),ISNUMBER(I105)),I103+I104+I105,"SLO 不可達")</f>
        <v>1426835.02723766</v>
      </c>
      <c r="J106" s="68" t="n">
        <f aca="false">IF(AND(ISNUMBER(J104),ISNUMBER(J105)),J103+J104+J105,"SLO 不可達")</f>
        <v>8551078.79849405</v>
      </c>
      <c r="K106" s="68" t="n">
        <f aca="false">IF(AND(ISNUMBER(K104),ISNUMBER(K105)),K103+K104+K105,"SLO 不可達")</f>
        <v>1543973.42821119</v>
      </c>
      <c r="L106" s="68" t="n">
        <f aca="false">IF(AND(ISNUMBER(L104),ISNUMBER(L105)),L103+L104+L105,"SLO 不可達")</f>
        <v>10102375.5841025</v>
      </c>
      <c r="M106" s="68" t="n">
        <f aca="false">IF(AND(ISNUMBER(M104),ISNUMBER(M105)),M103+M104+M105,"SLO 不可達")</f>
        <v>2731092.47363188</v>
      </c>
      <c r="N106" s="68" t="n">
        <f aca="false">IF(AND(ISNUMBER(N104),ISNUMBER(N105)),N103+N104+N105,"SLO 不可達")</f>
        <v>16377581.3867692</v>
      </c>
      <c r="O106" s="68" t="n">
        <f aca="false">IF(AND(ISNUMBER(O104),ISNUMBER(O105)),O103+O104+O105,"SLO 不可達")</f>
        <v>1787507.00571145</v>
      </c>
      <c r="P106" s="68" t="n">
        <f aca="false">IF(AND(ISNUMBER(P104),ISNUMBER(P105)),P103+P104+P105,"SLO 不可達")</f>
        <v>8552238.091967</v>
      </c>
      <c r="Q106" s="68" t="n">
        <f aca="false">IF(AND(ISNUMBER(Q104),ISNUMBER(Q105)),Q103+Q104+Q105,"SLO 不可達")</f>
        <v>2804952.84209071</v>
      </c>
      <c r="R106" s="68" t="n">
        <f aca="false">IF(AND(ISNUMBER(R104),ISNUMBER(R105)),R103+R104+R105,"SLO 不可達")</f>
        <v>24875085.6759183</v>
      </c>
      <c r="S106" s="68" t="n">
        <f aca="false">IF(AND(ISNUMBER(S104),ISNUMBER(S105)),S103+S104+S105,"SLO 不可達")</f>
        <v>2138163.65067722</v>
      </c>
      <c r="T106" s="68" t="n">
        <f aca="false">IF(AND(ISNUMBER(T104),ISNUMBER(T105)),T103+T104+T105,"SLO 不可達")</f>
        <v>14201317.1713302</v>
      </c>
      <c r="U106" s="68" t="n">
        <f aca="false">IF(AND(ISNUMBER(U104),ISNUMBER(U105)),U103+U104+U105,"SLO 不可達")</f>
        <v>2029342.04499648</v>
      </c>
      <c r="V106" s="68" t="n">
        <f aca="false">IF(AND(ISNUMBER(V104),ISNUMBER(V105)),V103+V104+V105,"SLO 不可達")</f>
        <v>12426050.4872902</v>
      </c>
      <c r="W106" s="68" t="n">
        <f aca="false">IF(AND(ISNUMBER(W104),ISNUMBER(W105)),W103+W104+W105,"SLO 不可達")</f>
        <v>2160171.75087962</v>
      </c>
      <c r="X106" s="68" t="n">
        <f aca="false">IF(AND(ISNUMBER(X104),ISNUMBER(X105)),X103+X104+X105,"SLO 不可達")</f>
        <v>14573485.5578506</v>
      </c>
      <c r="Y106" s="68" t="n">
        <f aca="false">IF(AND(ISNUMBER(Y104),ISNUMBER(Y105)),Y103+Y104+Y105,"SLO 不可達")</f>
        <v>1461907.24104754</v>
      </c>
      <c r="Z106" s="68" t="n">
        <f aca="false">IF(AND(ISNUMBER(Z104),ISNUMBER(Z105)),Z103+Z104+Z105,"SLO 不可達")</f>
        <v>11900014.437774</v>
      </c>
      <c r="AA106" s="68" t="n">
        <f aca="false">IF(AND(ISNUMBER(AA104),ISNUMBER(AA105)),AA103+AA104+AA105,"SLO 不可達")</f>
        <v>3230053.29666758</v>
      </c>
      <c r="AB106" s="68" t="n">
        <f aca="false">IF(AND(ISNUMBER(AB104),ISNUMBER(AB105)),AB103+AB104+AB105,"SLO 不可達")</f>
        <v>14552233.521204</v>
      </c>
      <c r="AC106" s="68" t="n">
        <f aca="false">IF(AND(ISNUMBER(AC104),ISNUMBER(AC105)),AC103+AC104+AC105,"SLO 不可達")</f>
        <v>2051289.25958755</v>
      </c>
      <c r="AD106" s="68" t="n">
        <f aca="false">IF(AND(ISNUMBER(AD104),ISNUMBER(AD105)),AD103+AD104+AD105,"SLO 不可達")</f>
        <v>12784087.465584</v>
      </c>
      <c r="AE106" s="68" t="n">
        <f aca="false">IF(AND(ISNUMBER(AE104),ISNUMBER(AE105)),AE103+AE104+AE105,"SLO 不可達")</f>
        <v>2051289.25958755</v>
      </c>
      <c r="AF106" s="68" t="n">
        <f aca="false">IF(AND(ISNUMBER(AF104),ISNUMBER(AF105)),AF103+AF104+AF105,"SLO 不可達")</f>
        <v>12784087.465584</v>
      </c>
      <c r="AG106" s="68" t="n">
        <f aca="false">IF(AND(ISNUMBER(AG104),ISNUMBER(AG105)),AG103+AG104+AG105,"SLO 不可達")</f>
        <v>2207402.81767502</v>
      </c>
      <c r="AH106" s="68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58" t="s">
        <v>1074</v>
      </c>
      <c r="B107" s="59" t="s">
        <v>301</v>
      </c>
      <c r="C107" s="142" t="n">
        <f aca="false">C35+C42</f>
        <v>1.33534567343555E+025</v>
      </c>
      <c r="D107" s="142" t="n">
        <f aca="false">D35+D42</f>
        <v>7.25166139392E+025</v>
      </c>
      <c r="E107" s="142" t="n">
        <f aca="false">E35+E42</f>
        <v>1.33534567343555E+025</v>
      </c>
      <c r="F107" s="142" t="n">
        <f aca="false">F35+F42</f>
        <v>7.25166139392E+025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1.33534567343555E+025</v>
      </c>
      <c r="J107" s="142" t="n">
        <f aca="false">J35+J42</f>
        <v>7.25166139392E+025</v>
      </c>
      <c r="K107" s="142" t="n">
        <f aca="false">K35+K42</f>
        <v>6.88137501557146E+024</v>
      </c>
      <c r="L107" s="142" t="n">
        <f aca="false">L35+L42</f>
        <v>3.83046746112E+025</v>
      </c>
      <c r="M107" s="142" t="n">
        <f aca="false">M35+M42</f>
        <v>2.2026046237526E+025</v>
      </c>
      <c r="N107" s="142" t="n">
        <f aca="false">N35+N42</f>
        <v>1.1836061263872E+026</v>
      </c>
      <c r="O107" s="142" t="n">
        <f aca="false">O35+O42</f>
        <v>1.33534567343555E+025</v>
      </c>
      <c r="P107" s="142" t="n">
        <f aca="false">P35+P42</f>
        <v>7.25166139392E+025</v>
      </c>
      <c r="Q107" s="142" t="n">
        <f aca="false">Q35+Q42</f>
        <v>1.33534567343555E+025</v>
      </c>
      <c r="R107" s="142" t="n">
        <f aca="false">R35+R42</f>
        <v>7.25166139392E+025</v>
      </c>
      <c r="S107" s="142" t="n">
        <f aca="false">S35+S42</f>
        <v>1.33534567343555E+025</v>
      </c>
      <c r="T107" s="142" t="n">
        <f aca="false">T35+T42</f>
        <v>7.25166139392E+025</v>
      </c>
      <c r="U107" s="142" t="n">
        <f aca="false">U35+U42</f>
        <v>1.33534567343555E+025</v>
      </c>
      <c r="V107" s="142" t="n">
        <f aca="false">V35+V42</f>
        <v>7.25166139392E+025</v>
      </c>
      <c r="W107" s="142" t="n">
        <f aca="false">W35+W42</f>
        <v>1.33534567343555E+025</v>
      </c>
      <c r="X107" s="142" t="n">
        <f aca="false">X35+X42</f>
        <v>7.25166139392E+025</v>
      </c>
      <c r="Y107" s="142" t="n">
        <f aca="false">Y35+Y42</f>
        <v>1.33534567343555E+025</v>
      </c>
      <c r="Z107" s="142" t="n">
        <f aca="false">Z35+Z42</f>
        <v>7.25166139392E+025</v>
      </c>
      <c r="AA107" s="142" t="n">
        <f aca="false">AA35+AA42</f>
        <v>1.33534567343555E+025</v>
      </c>
      <c r="AB107" s="142" t="n">
        <f aca="false">AB35+AB42</f>
        <v>7.25166139392E+025</v>
      </c>
      <c r="AC107" s="142" t="n">
        <f aca="false">AC35+AC42</f>
        <v>1.33534567343555E+025</v>
      </c>
      <c r="AD107" s="142" t="n">
        <f aca="false">AD35+AD42</f>
        <v>7.25166139392E+025</v>
      </c>
      <c r="AE107" s="142" t="n">
        <f aca="false">AE35+AE42</f>
        <v>1.33534567343555E+025</v>
      </c>
      <c r="AF107" s="142" t="n">
        <f aca="false">AF35+AF42</f>
        <v>7.25166139392E+025</v>
      </c>
      <c r="AG107" s="142" t="n">
        <f aca="false">AG35+AG42</f>
        <v>1.33534567343555E+025</v>
      </c>
      <c r="AH107" s="142" t="n">
        <f aca="false">AH35+AH42</f>
        <v>7.25166139392E+025</v>
      </c>
    </row>
    <row r="108" customFormat="false" ht="15" hidden="false" customHeight="false" outlineLevel="0" collapsed="false">
      <c r="A108" s="58" t="s">
        <v>1075</v>
      </c>
      <c r="B108" s="59" t="s">
        <v>301</v>
      </c>
      <c r="C108" s="142" t="n">
        <f aca="false">C49+C76+C91</f>
        <v>1.94311098372492E+024</v>
      </c>
      <c r="D108" s="142" t="n">
        <f aca="false">D49+D76+D91</f>
        <v>2.666974089216E+025</v>
      </c>
      <c r="E108" s="142" t="n">
        <f aca="false">E49+E76+E91</f>
        <v>1.94311098372492E+024</v>
      </c>
      <c r="F108" s="142" t="n">
        <f aca="false">F49+F76+F91</f>
        <v>2.666974089216E+025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1.94311098372492E+024</v>
      </c>
      <c r="J108" s="142" t="n">
        <f aca="false">J49+J76+J91</f>
        <v>2.666974089216E+025</v>
      </c>
      <c r="K108" s="142" t="n">
        <f aca="false">K49+K76+K91</f>
        <v>1.94311098372492E+024</v>
      </c>
      <c r="L108" s="142" t="n">
        <f aca="false">L49+L76+L91</f>
        <v>2.666974089216E+025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7.26982939760477E+023</v>
      </c>
      <c r="P108" s="142" t="n">
        <f aca="false">P49+P76+P91</f>
        <v>8.544883731456E+024</v>
      </c>
      <c r="Q108" s="142" t="n">
        <f aca="false">Q49+Q76+Q91</f>
        <v>5.41776253790905E+024</v>
      </c>
      <c r="R108" s="142" t="n">
        <f aca="false">R49+R76+R91</f>
        <v>7.84550470656E+025</v>
      </c>
      <c r="S108" s="142" t="n">
        <f aca="false">S49+S76+S91</f>
        <v>1.94311098372492E+024</v>
      </c>
      <c r="T108" s="142" t="n">
        <f aca="false">T49+T76+T91</f>
        <v>2.666974089216E+025</v>
      </c>
      <c r="U108" s="142" t="n">
        <f aca="false">U49+U76+U91</f>
        <v>1.94311098372492E+024</v>
      </c>
      <c r="V108" s="142" t="n">
        <f aca="false">V49+V76+V91</f>
        <v>2.666974089216E+025</v>
      </c>
      <c r="W108" s="142" t="n">
        <f aca="false">W49+W76+W91</f>
        <v>1.94311098372492E+024</v>
      </c>
      <c r="X108" s="142" t="n">
        <f aca="false">X49+X76+X91</f>
        <v>2.666974089216E+025</v>
      </c>
      <c r="Y108" s="142" t="n">
        <f aca="false">Y49+Y76+Y91</f>
        <v>1.94311098372492E+024</v>
      </c>
      <c r="Z108" s="142" t="n">
        <f aca="false">Z49+Z76+Z91</f>
        <v>2.666974089216E+025</v>
      </c>
      <c r="AA108" s="142" t="n">
        <f aca="false">AA49+AA76+AA91</f>
        <v>1.94311098372492E+024</v>
      </c>
      <c r="AB108" s="142" t="n">
        <f aca="false">AB49+AB76+AB91</f>
        <v>2.666974089216E+025</v>
      </c>
      <c r="AC108" s="142" t="n">
        <f aca="false">AC49+AC76+AC91</f>
        <v>1.94311098372492E+024</v>
      </c>
      <c r="AD108" s="142" t="n">
        <f aca="false">AD49+AD76+AD91</f>
        <v>2.666974089216E+025</v>
      </c>
      <c r="AE108" s="142" t="n">
        <f aca="false">AE49+AE76+AE91</f>
        <v>1.94311098372492E+024</v>
      </c>
      <c r="AF108" s="142" t="n">
        <f aca="false">AF49+AF76+AF91</f>
        <v>2.666974089216E+025</v>
      </c>
      <c r="AG108" s="142" t="n">
        <f aca="false">AG49+AG76+AG91</f>
        <v>1.94311098372492E+024</v>
      </c>
      <c r="AH108" s="142" t="n">
        <f aca="false">AH49+AH76+AH91</f>
        <v>2.666974089216E+025</v>
      </c>
    </row>
    <row r="109" customFormat="false" ht="15" hidden="false" customHeight="false" outlineLevel="0" collapsed="false">
      <c r="A109" s="58" t="s">
        <v>1076</v>
      </c>
      <c r="B109" s="59" t="s">
        <v>301</v>
      </c>
      <c r="C109" s="142" t="n">
        <f aca="false">C107+C108+C98+C101</f>
        <v>1.6345355852516E+025</v>
      </c>
      <c r="D109" s="142" t="n">
        <f aca="false">D107+D108+D98+D101</f>
        <v>1.0080164477952E+026</v>
      </c>
      <c r="E109" s="142" t="n">
        <f aca="false">E107+E108+E98+E101</f>
        <v>1.6345355852516E+025</v>
      </c>
      <c r="F109" s="142" t="n">
        <f aca="false">F107+F108+F98+F101</f>
        <v>1.0080164477952E+026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1.6345355852516E+025</v>
      </c>
      <c r="J109" s="142" t="n">
        <f aca="false">J107+J108+J98+J101</f>
        <v>1.0080164477952E+026</v>
      </c>
      <c r="K109" s="142" t="n">
        <f aca="false">K107+K108+K98+K101</f>
        <v>9.87327413373201E+024</v>
      </c>
      <c r="L109" s="142" t="n">
        <f aca="false">L107+L108+L98+L101</f>
        <v>6.658970545152E+025</v>
      </c>
      <c r="M109" s="142" t="n">
        <f aca="false">M107+M108+M98+M101</f>
        <v>2.50179453556866E+025</v>
      </c>
      <c r="N109" s="142" t="n">
        <f aca="false">N107+N108+N98+N101</f>
        <v>1.4664564347904E+026</v>
      </c>
      <c r="O109" s="142" t="n">
        <f aca="false">O107+O108+O98+O101</f>
        <v>1.51292278085516E+025</v>
      </c>
      <c r="P109" s="142" t="n">
        <f aca="false">P107+P108+P98+P101</f>
        <v>8.2676787618816E+025</v>
      </c>
      <c r="Q109" s="142" t="n">
        <f aca="false">Q107+Q108+Q98+Q101</f>
        <v>1.98200074067001E+025</v>
      </c>
      <c r="R109" s="142" t="n">
        <f aca="false">R107+R108+R98+R101</f>
        <v>1.5258695095296E+026</v>
      </c>
      <c r="S109" s="142" t="n">
        <f aca="false">S107+S108+S98+S101</f>
        <v>1.6345355852516E+025</v>
      </c>
      <c r="T109" s="142" t="n">
        <f aca="false">T107+T108+T98+T101</f>
        <v>1.0080164477952E+026</v>
      </c>
      <c r="U109" s="142" t="n">
        <f aca="false">U107+U108+U98+U101</f>
        <v>1.6345355852516E+025</v>
      </c>
      <c r="V109" s="142" t="n">
        <f aca="false">V107+V108+V98+V101</f>
        <v>1.0080164477952E+026</v>
      </c>
      <c r="W109" s="142" t="n">
        <f aca="false">W107+W108+W98+W101</f>
        <v>1.6345355852516E+025</v>
      </c>
      <c r="X109" s="142" t="n">
        <f aca="false">X107+X108+X98+X101</f>
        <v>1.0080164477952E+026</v>
      </c>
      <c r="Y109" s="142" t="n">
        <f aca="false">Y107+Y108+Y98+Y101</f>
        <v>1.5303233305316E+025</v>
      </c>
      <c r="Z109" s="142" t="n">
        <f aca="false">Z107+Z108+Z98+Z101</f>
        <v>9.923846095872E+025</v>
      </c>
      <c r="AA109" s="142" t="n">
        <f aca="false">AA107+AA108+AA98+AA101</f>
        <v>1.8429600946916E+025</v>
      </c>
      <c r="AB109" s="142" t="n">
        <f aca="false">AB107+AB108+AB98+AB101</f>
        <v>1.0392801242112E+026</v>
      </c>
      <c r="AC109" s="142" t="n">
        <f aca="false">AC107+AC108+AC98+AC101</f>
        <v>1.6345355852516E+025</v>
      </c>
      <c r="AD109" s="142" t="n">
        <f aca="false">AD107+AD108+AD98+AD101</f>
        <v>1.0080164477952E+026</v>
      </c>
      <c r="AE109" s="142" t="n">
        <f aca="false">AE107+AE108+AE98+AE101</f>
        <v>1.6345355852516E+025</v>
      </c>
      <c r="AF109" s="142" t="n">
        <f aca="false">AF107+AF108+AF98+AF101</f>
        <v>1.0080164477952E+026</v>
      </c>
      <c r="AG109" s="142" t="n">
        <f aca="false">AG107+AG108+AG98+AG101</f>
        <v>1.6345355852516E+025</v>
      </c>
      <c r="AH109" s="142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1077</v>
      </c>
      <c r="B110" s="59" t="s">
        <v>93</v>
      </c>
      <c r="C110" s="99" t="n">
        <f aca="false">C108/(C107+C108)</f>
        <v>0.127029214627552</v>
      </c>
      <c r="D110" s="99" t="n">
        <f aca="false">D108/(D107+D108)</f>
        <v>0.268885180199482</v>
      </c>
      <c r="E110" s="99" t="n">
        <f aca="false">E108/(E107+E108)</f>
        <v>0.127029214627552</v>
      </c>
      <c r="F110" s="99" t="n">
        <f aca="false">F108/(F107+F108)</f>
        <v>0.268885180199482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0.127029214627552</v>
      </c>
      <c r="J110" s="99" t="n">
        <f aca="false">J108/(J107+J108)</f>
        <v>0.268885180199482</v>
      </c>
      <c r="K110" s="99" t="n">
        <f aca="false">K108/(K107+K108)</f>
        <v>0.220195372725375</v>
      </c>
      <c r="L110" s="99" t="n">
        <f aca="false">L108/(L107+L108)</f>
        <v>0.410465268299041</v>
      </c>
      <c r="M110" s="99" t="n">
        <f aca="false">M108/(M107+M108)</f>
        <v>0.08106713831399</v>
      </c>
      <c r="N110" s="99" t="n">
        <f aca="false">N108/(N107+N108)</f>
        <v>0.18389075281735</v>
      </c>
      <c r="O110" s="99" t="n">
        <f aca="false">O108/(O107+O108)</f>
        <v>0.051630698798198</v>
      </c>
      <c r="P110" s="99" t="n">
        <f aca="false">P108/(P107+P108)</f>
        <v>0.105412359467782</v>
      </c>
      <c r="Q110" s="99" t="n">
        <f aca="false">Q108/(Q107+Q108)</f>
        <v>0.28862070488485</v>
      </c>
      <c r="R110" s="99" t="n">
        <f aca="false">R108/(R107+R108)</f>
        <v>0.519667376933116</v>
      </c>
      <c r="S110" s="99" t="n">
        <f aca="false">S108/(S107+S108)</f>
        <v>0.127029214627552</v>
      </c>
      <c r="T110" s="99" t="n">
        <f aca="false">T108/(T107+T108)</f>
        <v>0.268885180199482</v>
      </c>
      <c r="U110" s="99" t="n">
        <f aca="false">U108/(U107+U108)</f>
        <v>0.127029214627552</v>
      </c>
      <c r="V110" s="99" t="n">
        <f aca="false">V108/(V107+V108)</f>
        <v>0.268885180199482</v>
      </c>
      <c r="W110" s="99" t="n">
        <f aca="false">W108/(W107+W108)</f>
        <v>0.127029214627552</v>
      </c>
      <c r="X110" s="99" t="n">
        <f aca="false">X108/(X107+X108)</f>
        <v>0.268885180199482</v>
      </c>
      <c r="Y110" s="99" t="n">
        <f aca="false">Y108/(Y107+Y108)</f>
        <v>0.127029214627552</v>
      </c>
      <c r="Z110" s="99" t="n">
        <f aca="false">Z108/(Z107+Z108)</f>
        <v>0.268885180199482</v>
      </c>
      <c r="AA110" s="99" t="n">
        <f aca="false">AA108/(AA107+AA108)</f>
        <v>0.127029214627552</v>
      </c>
      <c r="AB110" s="99" t="n">
        <f aca="false">AB108/(AB107+AB108)</f>
        <v>0.268885180199482</v>
      </c>
      <c r="AC110" s="99" t="n">
        <f aca="false">AC108/(AC107+AC108)</f>
        <v>0.127029214627552</v>
      </c>
      <c r="AD110" s="99" t="n">
        <f aca="false">AD108/(AD107+AD108)</f>
        <v>0.268885180199482</v>
      </c>
      <c r="AE110" s="99" t="n">
        <f aca="false">AE108/(AE107+AE108)</f>
        <v>0.127029214627552</v>
      </c>
      <c r="AF110" s="99" t="n">
        <f aca="false">AF108/(AF107+AF108)</f>
        <v>0.268885180199482</v>
      </c>
      <c r="AG110" s="99" t="n">
        <f aca="false">AG108/(AG107+AG108)</f>
        <v>0.127029214627552</v>
      </c>
      <c r="AH110" s="99" t="n">
        <f aca="false">AH108/(AH107+AH108)</f>
        <v>0.268885180199482</v>
      </c>
    </row>
    <row r="111" customFormat="false" ht="15" hidden="false" customHeight="false" outlineLevel="0" collapsed="false">
      <c r="A111" s="58" t="s">
        <v>1078</v>
      </c>
      <c r="B111" s="59" t="s">
        <v>93</v>
      </c>
      <c r="C111" s="99" t="n">
        <f aca="false">IF(AND(ISNUMBER(C104)),C104/(C103+C104),"SLO 不可達")</f>
        <v>0.282310936548276</v>
      </c>
      <c r="D111" s="99" t="n">
        <f aca="false">IF(AND(ISNUMBER(D104)),D104/(D103+D104),"SLO 不可達")</f>
        <v>0.521148040333377</v>
      </c>
      <c r="E111" s="99" t="n">
        <f aca="false">IF(AND(ISNUMBER(E104)),E104/(E103+E104),"SLO 不可達")</f>
        <v>0.238550549238054</v>
      </c>
      <c r="F111" s="99" t="n">
        <f aca="false">IF(AND(ISNUMBER(F104)),F104/(F103+F104),"SLO 不可達")</f>
        <v>0.459094328259101</v>
      </c>
      <c r="G111" s="99" t="n">
        <f aca="false">IF(AND(ISNUMBER(G104)),G104/(G103+G104),"SLO 不可達")</f>
        <v>0.339269097413852</v>
      </c>
      <c r="H111" s="99" t="n">
        <f aca="false">IF(AND(ISNUMBER(H104)),H104/(H103+H104),"SLO 不可達")</f>
        <v>0.591452109483862</v>
      </c>
      <c r="I111" s="99" t="n">
        <f aca="false">IF(AND(ISNUMBER(I104)),I104/(I103+I104),"SLO 不可達")</f>
        <v>0.372470941924599</v>
      </c>
      <c r="J111" s="99" t="n">
        <f aca="false">IF(AND(ISNUMBER(J104)),J104/(J103+J104),"SLO 不可達")</f>
        <v>0.627875181315398</v>
      </c>
      <c r="K111" s="99" t="n">
        <f aca="false">IF(AND(ISNUMBER(K104)),K104/(K103+K104),"SLO 不可達")</f>
        <v>0.432889775989946</v>
      </c>
      <c r="L111" s="99" t="n">
        <f aca="false">IF(AND(ISNUMBER(L104)),L104/(L103+L104),"SLO 不可達")</f>
        <v>0.673242307637432</v>
      </c>
      <c r="M111" s="99" t="n">
        <f aca="false">IF(AND(ISNUMBER(M104)),M104/(M103+M104),"SLO 不可達")</f>
        <v>0.192557391766836</v>
      </c>
      <c r="N111" s="99" t="n">
        <f aca="false">IF(AND(ISNUMBER(N104)),N104/(N103+N104),"SLO 不可達")</f>
        <v>0.400044990623849</v>
      </c>
      <c r="O111" s="99" t="n">
        <f aca="false">IF(AND(ISNUMBER(O104)),O104/(O103+O104),"SLO 不可達")</f>
        <v>0.123845535250358</v>
      </c>
      <c r="P111" s="99" t="n">
        <f aca="false">IF(AND(ISNUMBER(P104)),P104/(P103+P104),"SLO 不可達")</f>
        <v>0.255863314337605</v>
      </c>
      <c r="Q111" s="99" t="n">
        <f aca="false">IF(AND(ISNUMBER(Q104)),Q104/(Q103+Q104),"SLO 不可達")</f>
        <v>0.526826365936355</v>
      </c>
      <c r="R111" s="99" t="n">
        <f aca="false">IF(AND(ISNUMBER(R104)),R104/(R103+R104),"SLO 不可達")</f>
        <v>0.762776805856927</v>
      </c>
      <c r="S111" s="99" t="n">
        <f aca="false">IF(AND(ISNUMBER(S104)),S104/(S103+S104),"SLO 不可達")</f>
        <v>0.322657653641206</v>
      </c>
      <c r="T111" s="99" t="n">
        <f aca="false">IF(AND(ISNUMBER(T104)),T104/(T103+T104),"SLO 不可達")</f>
        <v>0.572220791017293</v>
      </c>
      <c r="U111" s="99" t="n">
        <f aca="false">IF(AND(ISNUMBER(U104)),U104/(U103+U104),"SLO 不可達")</f>
        <v>0.271345927145862</v>
      </c>
      <c r="V111" s="99" t="n">
        <f aca="false">IF(AND(ISNUMBER(V104)),V104/(V103+V104),"SLO 不可達")</f>
        <v>0.506255828892617</v>
      </c>
      <c r="W111" s="99" t="n">
        <f aca="false">IF(AND(ISNUMBER(W104)),W104/(W103+W104),"SLO 不可達")</f>
        <v>0.331412331524224</v>
      </c>
      <c r="X111" s="99" t="n">
        <f aca="false">IF(AND(ISNUMBER(X104)),X104/(X103+X104),"SLO 不可達")</f>
        <v>0.583407458596451</v>
      </c>
      <c r="Y111" s="99" t="n">
        <f aca="false">IF(AND(ISNUMBER(Y104)),Y104/(Y103+Y104),"SLO 不可達")</f>
        <v>0.282310936548276</v>
      </c>
      <c r="Z111" s="99" t="n">
        <f aca="false">IF(AND(ISNUMBER(Z104)),Z104/(Z103+Z104),"SLO 不可達")</f>
        <v>0.521148040333377</v>
      </c>
      <c r="AA111" s="99" t="n">
        <f aca="false">IF(AND(ISNUMBER(AA104)),AA104/(AA103+AA104),"SLO 不可達")</f>
        <v>0.282310936548276</v>
      </c>
      <c r="AB111" s="99" t="n">
        <f aca="false">IF(AND(ISNUMBER(AB104)),AB104/(AB103+AB104),"SLO 不可達")</f>
        <v>0.521148040333377</v>
      </c>
      <c r="AC111" s="99" t="n">
        <f aca="false">IF(AND(ISNUMBER(AC104)),AC104/(AC103+AC104),"SLO 不可達")</f>
        <v>0.282310936548276</v>
      </c>
      <c r="AD111" s="99" t="n">
        <f aca="false">IF(AND(ISNUMBER(AD104)),AD104/(AD103+AD104),"SLO 不可達")</f>
        <v>0.521148040333377</v>
      </c>
      <c r="AE111" s="99" t="n">
        <f aca="false">IF(AND(ISNUMBER(AE104)),AE104/(AE103+AE104),"SLO 不可達")</f>
        <v>0.282310936548276</v>
      </c>
      <c r="AF111" s="99" t="n">
        <f aca="false">IF(AND(ISNUMBER(AF104)),AF104/(AF103+AF104),"SLO 不可達")</f>
        <v>0.521148040333377</v>
      </c>
      <c r="AG111" s="99" t="n">
        <f aca="false">IF(AND(ISNUMBER(AG104)),AG104/(AG103+AG104),"SLO 不可達")</f>
        <v>0.270667991364479</v>
      </c>
      <c r="AH111" s="99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58" t="s">
        <v>1079</v>
      </c>
      <c r="B112" s="59" t="s">
        <v>1010</v>
      </c>
      <c r="C112" s="65" t="n">
        <f aca="false">IF(AND(ISNUMBER(C65),ISNUMBER(C86),ISNUMBER(C97),ISNUMBER(C100)),C65+C74+C86+C87+C97+C100,"SLO 不可達")</f>
        <v>802380.794887774</v>
      </c>
      <c r="D112" s="65" t="n">
        <f aca="false">IF(AND(ISNUMBER(D65),ISNUMBER(D86),ISNUMBER(D97),ISNUMBER(D100)),D65+D74+D86+D87+D97+D100,"SLO 不可達")</f>
        <v>4318070.1314041</v>
      </c>
      <c r="E112" s="65" t="n">
        <f aca="false">IF(AND(ISNUMBER(E65),ISNUMBER(E86),ISNUMBER(E97),ISNUMBER(E100)),E65+E74+E86+E87+E97+E100,"SLO 不可達")</f>
        <v>802380.794887774</v>
      </c>
      <c r="F112" s="65" t="n">
        <f aca="false">IF(AND(ISNUMBER(F65),ISNUMBER(F86),ISNUMBER(F97),ISNUMBER(F100)),F65+F74+F86+F87+F97+F100,"SLO 不可達")</f>
        <v>4318070.1314041</v>
      </c>
      <c r="G112" s="65" t="n">
        <f aca="false">IF(AND(ISNUMBER(G65),ISNUMBER(G86),ISNUMBER(G97),ISNUMBER(G100)),G65+G74+G86+G87+G97+G100,"SLO 不可達")</f>
        <v>802380.794887774</v>
      </c>
      <c r="H112" s="65" t="n">
        <f aca="false">IF(AND(ISNUMBER(H65),ISNUMBER(H86),ISNUMBER(H97),ISNUMBER(H100)),H65+H74+H86+H87+H97+H100,"SLO 不可達")</f>
        <v>4318070.1314041</v>
      </c>
      <c r="I112" s="65" t="n">
        <f aca="false">IF(AND(ISNUMBER(I65),ISNUMBER(I86),ISNUMBER(I97),ISNUMBER(I100)),I65+I74+I86+I87+I97+I100,"SLO 不可達")</f>
        <v>802380.794887774</v>
      </c>
      <c r="J112" s="65" t="n">
        <f aca="false">IF(AND(ISNUMBER(J65),ISNUMBER(J86),ISNUMBER(J97),ISNUMBER(J100)),J65+J74+J86+J87+J97+J100,"SLO 不可達")</f>
        <v>4318070.1314041</v>
      </c>
      <c r="K112" s="65" t="n">
        <f aca="false">IF(AND(ISNUMBER(K65),ISNUMBER(K86),ISNUMBER(K97),ISNUMBER(K100)),K65+K74+K86+K87+K97+K100,"SLO 不可達")</f>
        <v>802380.794887774</v>
      </c>
      <c r="L112" s="65" t="n">
        <f aca="false">IF(AND(ISNUMBER(L65),ISNUMBER(L86),ISNUMBER(L97),ISNUMBER(L100)),L65+L74+L86+L87+L97+L100,"SLO 不可達")</f>
        <v>4318070.1314041</v>
      </c>
      <c r="M112" s="65" t="n">
        <f aca="false">IF(AND(ISNUMBER(M65),ISNUMBER(M86),ISNUMBER(M97),ISNUMBER(M100)),M65+M74+M86+M87+M97+M100,"SLO 不可達")</f>
        <v>802380.794887774</v>
      </c>
      <c r="N112" s="65" t="n">
        <f aca="false">IF(AND(ISNUMBER(N65),ISNUMBER(N86),ISNUMBER(N97),ISNUMBER(N100)),N65+N74+N86+N87+N97+N100,"SLO 不可達")</f>
        <v>4318070.1314041</v>
      </c>
      <c r="O112" s="65" t="n">
        <f aca="false">IF(AND(ISNUMBER(O65),ISNUMBER(O86),ISNUMBER(O97),ISNUMBER(O100)),O65+O74+O86+O87+O97+O100,"SLO 不可達")</f>
        <v>667817.571680837</v>
      </c>
      <c r="P112" s="65" t="n">
        <f aca="false">IF(AND(ISNUMBER(P65),ISNUMBER(P86),ISNUMBER(P97),ISNUMBER(P100)),P65+P74+P86+P87+P97+P100,"SLO 不可達")</f>
        <v>1985661.56845377</v>
      </c>
      <c r="Q112" s="65" t="n">
        <f aca="false">IF(AND(ISNUMBER(Q65),ISNUMBER(Q86),ISNUMBER(Q97),ISNUMBER(Q100)),Q65+Q74+Q86+Q87+Q97+Q100,"SLO 不可達")</f>
        <v>1186847.14690759</v>
      </c>
      <c r="R112" s="65" t="n">
        <f aca="false">IF(AND(ISNUMBER(R65),ISNUMBER(R86),ISNUMBER(R97),ISNUMBER(R100)),R65+R74+R86+R87+R97+R100,"SLO 不可達")</f>
        <v>10982094.5969765</v>
      </c>
      <c r="S112" s="65" t="n">
        <f aca="false">IF(AND(ISNUMBER(S65),ISNUMBER(S86),ISNUMBER(S97),ISNUMBER(S100)),S65+S74+S86+S87+S97+S100,"SLO 不可達")</f>
        <v>889255.185977442</v>
      </c>
      <c r="T112" s="65" t="n">
        <f aca="false">IF(AND(ISNUMBER(T65),ISNUMBER(T86),ISNUMBER(T97),ISNUMBER(T100)),T65+T74+T86+T87+T97+T100,"SLO 不可達")</f>
        <v>5735299.83715031</v>
      </c>
      <c r="U112" s="65" t="n">
        <f aca="false">IF(AND(ISNUMBER(U65),ISNUMBER(U86),ISNUMBER(U97),ISNUMBER(U100)),U65+U74+U86+U87+U97+U100,"SLO 不可達")</f>
        <v>780433.5802967</v>
      </c>
      <c r="V112" s="65" t="n">
        <f aca="false">IF(AND(ISNUMBER(V65),ISNUMBER(V86),ISNUMBER(V97),ISNUMBER(V100)),V65+V74+V86+V87+V97+V100,"SLO 不可達")</f>
        <v>3960033.15311033</v>
      </c>
      <c r="W112" s="65" t="n">
        <f aca="false">IF(AND(ISNUMBER(W65),ISNUMBER(W86),ISNUMBER(W97),ISNUMBER(W100)),W65+W74+W86+W87+W97+W100,"SLO 不可達")</f>
        <v>911263.286179845</v>
      </c>
      <c r="X112" s="65" t="n">
        <f aca="false">IF(AND(ISNUMBER(X65),ISNUMBER(X86),ISNUMBER(X97),ISNUMBER(X100)),X65+X74+X86+X87+X97+X100,"SLO 不可達")</f>
        <v>6107468.22367072</v>
      </c>
      <c r="Y112" s="65" t="n">
        <f aca="false">IF(AND(ISNUMBER(Y65),ISNUMBER(Y86),ISNUMBER(Y97),ISNUMBER(Y100)),Y65+Y74+Y86+Y87+Y97+Y100,"SLO 不可達")</f>
        <v>212998.77634776</v>
      </c>
      <c r="Z112" s="65" t="n">
        <f aca="false">IF(AND(ISNUMBER(Z65),ISNUMBER(Z86),ISNUMBER(Z97),ISNUMBER(Z100)),Z65+Z74+Z86+Z87+Z97+Z100,"SLO 不可達")</f>
        <v>3433997.10359408</v>
      </c>
      <c r="AA112" s="65" t="n">
        <f aca="false">IF(AND(ISNUMBER(AA65),ISNUMBER(AA86),ISNUMBER(AA97),ISNUMBER(AA100)),AA65+AA74+AA86+AA87+AA97+AA100,"SLO 不可達")</f>
        <v>1981144.8319678</v>
      </c>
      <c r="AB112" s="65" t="n">
        <f aca="false">IF(AND(ISNUMBER(AB65),ISNUMBER(AB86),ISNUMBER(AB97),ISNUMBER(AB100)),AB65+AB74+AB86+AB87+AB97+AB100,"SLO 不可達")</f>
        <v>6086216.18702414</v>
      </c>
      <c r="AC112" s="65" t="n">
        <f aca="false">IF(AND(ISNUMBER(AC65),ISNUMBER(AC86),ISNUMBER(AC97),ISNUMBER(AC100)),AC65+AC74+AC86+AC87+AC97+AC100,"SLO 不可達")</f>
        <v>802380.794887774</v>
      </c>
      <c r="AD112" s="65" t="n">
        <f aca="false">IF(AND(ISNUMBER(AD65),ISNUMBER(AD86),ISNUMBER(AD97),ISNUMBER(AD100)),AD65+AD74+AD86+AD87+AD97+AD100,"SLO 不可達")</f>
        <v>4318070.1314041</v>
      </c>
      <c r="AE112" s="65" t="n">
        <f aca="false">IF(AND(ISNUMBER(AE65),ISNUMBER(AE86),ISNUMBER(AE97),ISNUMBER(AE100)),AE65+AE74+AE86+AE87+AE97+AE100,"SLO 不可達")</f>
        <v>802380.794887774</v>
      </c>
      <c r="AF112" s="65" t="n">
        <f aca="false">IF(AND(ISNUMBER(AF65),ISNUMBER(AF86),ISNUMBER(AF97),ISNUMBER(AF100)),AF65+AF74+AF86+AF87+AF97+AF100,"SLO 不可達")</f>
        <v>4318070.1314041</v>
      </c>
      <c r="AG112" s="65" t="n">
        <f aca="false">IF(AND(ISNUMBER(AG65),ISNUMBER(AG86),ISNUMBER(AG97),ISNUMBER(AG100)),AG65+AG74+AG86+AG87+AG97+AG100,"SLO 不可達")</f>
        <v>802380.794887774</v>
      </c>
      <c r="AH112" s="65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58" t="s">
        <v>1080</v>
      </c>
      <c r="B113" s="59" t="s">
        <v>1010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8" t="s">
        <v>1081</v>
      </c>
      <c r="B114" s="59" t="s">
        <v>93</v>
      </c>
      <c r="C114" s="101" t="n">
        <f aca="false">IF(AND(ISNUMBER(C112),ISNUMBER(C106)),C112/C106,"SLO 不可達")</f>
        <v>0.391159262955</v>
      </c>
      <c r="D114" s="101" t="n">
        <f aca="false">IF(AND(ISNUMBER(D112),ISNUMBER(D106)),D112/D106,"SLO 不可達")</f>
        <v>0.337769132370908</v>
      </c>
      <c r="E114" s="101" t="n">
        <f aca="false">IF(AND(ISNUMBER(E112),ISNUMBER(E106)),E112/E106,"SLO 不可達")</f>
        <v>0.278228167791686</v>
      </c>
      <c r="F114" s="101" t="n">
        <f aca="false">IF(AND(ISNUMBER(F112),ISNUMBER(F106)),F112/F106,"SLO 不可達")</f>
        <v>0.234319889768252</v>
      </c>
      <c r="G114" s="101" t="n">
        <f aca="false">IF(AND(ISNUMBER(G112),ISNUMBER(G106)),G112/G106,"SLO 不可達")</f>
        <v>0.506889991454123</v>
      </c>
      <c r="H114" s="101" t="n">
        <f aca="false">IF(AND(ISNUMBER(H112),ISNUMBER(H106)),H112/H106,"SLO 不可達")</f>
        <v>0.449362202947532</v>
      </c>
      <c r="I114" s="101" t="n">
        <f aca="false">IF(AND(ISNUMBER(I112),ISNUMBER(I106)),I112/I106,"SLO 不可達")</f>
        <v>0.562350082224414</v>
      </c>
      <c r="J114" s="101" t="n">
        <f aca="false">IF(AND(ISNUMBER(J112),ISNUMBER(J106)),J112/J106,"SLO 不可達")</f>
        <v>0.504973727076935</v>
      </c>
      <c r="K114" s="101" t="n">
        <f aca="false">IF(AND(ISNUMBER(K112),ISNUMBER(K106)),K112/K106,"SLO 不可達")</f>
        <v>0.519685624264528</v>
      </c>
      <c r="L114" s="101" t="n">
        <f aca="false">IF(AND(ISNUMBER(L112),ISNUMBER(L106)),L112/L106,"SLO 不可達")</f>
        <v>0.427431161656589</v>
      </c>
      <c r="M114" s="101" t="n">
        <f aca="false">IF(AND(ISNUMBER(M112),ISNUMBER(M106)),M112/M106,"SLO 不可達")</f>
        <v>0.293794810184785</v>
      </c>
      <c r="N114" s="101" t="n">
        <f aca="false">IF(AND(ISNUMBER(N112),ISNUMBER(N106)),N112/N106,"SLO 不可達")</f>
        <v>0.263657375862135</v>
      </c>
      <c r="O114" s="101" t="n">
        <f aca="false">IF(AND(ISNUMBER(O112),ISNUMBER(O106)),O112/O106,"SLO 不可達")</f>
        <v>0.373602771651817</v>
      </c>
      <c r="P114" s="101" t="n">
        <f aca="false">IF(AND(ISNUMBER(P112),ISNUMBER(P106)),P112/P106,"SLO 不可達")</f>
        <v>0.232180342397025</v>
      </c>
      <c r="Q114" s="101" t="n">
        <f aca="false">IF(AND(ISNUMBER(Q112),ISNUMBER(Q106)),Q112/Q106,"SLO 不可達")</f>
        <v>0.423125526068723</v>
      </c>
      <c r="R114" s="101" t="n">
        <f aca="false">IF(AND(ISNUMBER(R112),ISNUMBER(R106)),R112/R106,"SLO 不可達")</f>
        <v>0.441489719474949</v>
      </c>
      <c r="S114" s="101" t="n">
        <f aca="false">IF(AND(ISNUMBER(S112),ISNUMBER(S106)),S112/S106,"SLO 不可達")</f>
        <v>0.415896690459492</v>
      </c>
      <c r="T114" s="101" t="n">
        <f aca="false">IF(AND(ISNUMBER(T112),ISNUMBER(T106)),T112/T106,"SLO 不可達")</f>
        <v>0.403856893551311</v>
      </c>
      <c r="U114" s="101" t="n">
        <f aca="false">IF(AND(ISNUMBER(U112),ISNUMBER(U106)),U112/U106,"SLO 不可達")</f>
        <v>0.384574686273774</v>
      </c>
      <c r="V114" s="101" t="n">
        <f aca="false">IF(AND(ISNUMBER(V112),ISNUMBER(V106)),V112/V106,"SLO 不可達")</f>
        <v>0.318687998021639</v>
      </c>
      <c r="W114" s="101" t="n">
        <f aca="false">IF(AND(ISNUMBER(W112),ISNUMBER(W106)),W112/W106,"SLO 不可達")</f>
        <v>0.421847608093559</v>
      </c>
      <c r="X114" s="101" t="n">
        <f aca="false">IF(AND(ISNUMBER(X112),ISNUMBER(X106)),X112/X106,"SLO 不可達")</f>
        <v>0.419080816282875</v>
      </c>
      <c r="Y114" s="101" t="n">
        <f aca="false">IF(AND(ISNUMBER(Y112),ISNUMBER(Y106)),Y112/Y106,"SLO 不可達")</f>
        <v>0.14569924162571</v>
      </c>
      <c r="Z114" s="101" t="n">
        <f aca="false">IF(AND(ISNUMBER(Z112),ISNUMBER(Z106)),Z112/Z106,"SLO 不可達")</f>
        <v>0.288570835065008</v>
      </c>
      <c r="AA114" s="101" t="n">
        <f aca="false">IF(AND(ISNUMBER(AA112),ISNUMBER(AA106)),AA112/AA106,"SLO 不可達")</f>
        <v>0.613347412568001</v>
      </c>
      <c r="AB114" s="101" t="n">
        <f aca="false">IF(AND(ISNUMBER(AB112),ISNUMBER(AB106)),AB112/AB106,"SLO 不可達")</f>
        <v>0.418232443710852</v>
      </c>
      <c r="AC114" s="101" t="n">
        <f aca="false">IF(AND(ISNUMBER(AC112),ISNUMBER(AC106)),AC112/AC106,"SLO 不可達")</f>
        <v>0.391159262955</v>
      </c>
      <c r="AD114" s="101" t="n">
        <f aca="false">IF(AND(ISNUMBER(AD112),ISNUMBER(AD106)),AD112/AD106,"SLO 不可達")</f>
        <v>0.337769132370908</v>
      </c>
      <c r="AE114" s="101" t="n">
        <f aca="false">IF(AND(ISNUMBER(AE112),ISNUMBER(AE106)),AE112/AE106,"SLO 不可達")</f>
        <v>0.391159262955</v>
      </c>
      <c r="AF114" s="101" t="n">
        <f aca="false">IF(AND(ISNUMBER(AF112),ISNUMBER(AF106)),AF112/AF106,"SLO 不可達")</f>
        <v>0.337769132370908</v>
      </c>
      <c r="AG114" s="101" t="n">
        <f aca="false">IF(AND(ISNUMBER(AG112),ISNUMBER(AG106)),AG112/AG106,"SLO 不可達")</f>
        <v>0.363495411196807</v>
      </c>
      <c r="AH114" s="101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58" t="s">
        <v>1082</v>
      </c>
      <c r="B115" s="59" t="s">
        <v>865</v>
      </c>
      <c r="C115" s="110" t="n">
        <f aca="false">IF(AND(ISNUMBER(C106)),C106*C19/1000000,"SLO 不可達")</f>
        <v>9.8126535738025</v>
      </c>
      <c r="D115" s="110" t="n">
        <f aca="false">IF(AND(ISNUMBER(D106)),D106*D19/1000000,"SLO 不可達")</f>
        <v>61.1546231086832</v>
      </c>
      <c r="E115" s="110" t="n">
        <f aca="false">IF(AND(ISNUMBER(E106)),E106*E19/1000000,"SLO 不可達")</f>
        <v>13.7955490632966</v>
      </c>
      <c r="F115" s="110" t="n">
        <f aca="false">IF(AND(ISNUMBER(F106)),F106*F19/1000000,"SLO 不可達")</f>
        <v>88.1536091892121</v>
      </c>
      <c r="G115" s="110" t="n">
        <f aca="false">IF(AND(ISNUMBER(G106)),G106*G19/1000000,"SLO 不可達")</f>
        <v>7.57227486096206</v>
      </c>
      <c r="H115" s="110" t="n">
        <f aca="false">IF(AND(ISNUMBER(H106)),H106*H19/1000000,"SLO 不可達")</f>
        <v>45.9676934383856</v>
      </c>
      <c r="I115" s="110" t="n">
        <f aca="false">IF(AND(ISNUMBER(I106)),I106*I19/1000000,"SLO 不可達")</f>
        <v>6.82548195668191</v>
      </c>
      <c r="J115" s="110" t="n">
        <f aca="false">IF(AND(ISNUMBER(J106)),J106*J19/1000000,"SLO 不可達")</f>
        <v>40.9053835482865</v>
      </c>
      <c r="K115" s="110" t="n">
        <f aca="false">IF(AND(ISNUMBER(K106)),K106*K19/1000000,"SLO 不可達")</f>
        <v>7.38583128019636</v>
      </c>
      <c r="L115" s="110" t="n">
        <f aca="false">IF(AND(ISNUMBER(L106)),L106*L19/1000000,"SLO 不可達")</f>
        <v>48.3262472203314</v>
      </c>
      <c r="M115" s="110" t="n">
        <f aca="false">IF(AND(ISNUMBER(M106)),M106*M19/1000000,"SLO 不可達")</f>
        <v>13.0645954472347</v>
      </c>
      <c r="N115" s="110" t="n">
        <f aca="false">IF(AND(ISNUMBER(N106)),N106*N19/1000000,"SLO 不可達")</f>
        <v>78.3446467990745</v>
      </c>
      <c r="O115" s="110" t="n">
        <f aca="false">IF(AND(ISNUMBER(O106)),O106*O19/1000000,"SLO 不可達")</f>
        <v>8.55081111832965</v>
      </c>
      <c r="P115" s="110" t="n">
        <f aca="false">IF(AND(ISNUMBER(P106)),P106*P19/1000000,"SLO 不可達")</f>
        <v>40.9109292046035</v>
      </c>
      <c r="Q115" s="110" t="n">
        <f aca="false">IF(AND(ISNUMBER(Q106)),Q106*Q19/1000000,"SLO 不可達")</f>
        <v>13.4179177322963</v>
      </c>
      <c r="R115" s="110" t="n">
        <f aca="false">IF(AND(ISNUMBER(R106)),R106*R19/1000000,"SLO 不可達")</f>
        <v>118.993748548911</v>
      </c>
      <c r="S115" s="110" t="n">
        <f aca="false">IF(AND(ISNUMBER(S106)),S106*S19/1000000,"SLO 不可達")</f>
        <v>10.2282304117417</v>
      </c>
      <c r="T115" s="110" t="n">
        <f aca="false">IF(AND(ISNUMBER(T106)),T106*T19/1000000,"SLO 不可達")</f>
        <v>67.9341565518533</v>
      </c>
      <c r="U115" s="110" t="n">
        <f aca="false">IF(AND(ISNUMBER(U106)),U106*U19/1000000,"SLO 不可達")</f>
        <v>9.70766574105997</v>
      </c>
      <c r="V115" s="110" t="n">
        <f aca="false">IF(AND(ISNUMBER(V106)),V106*V19/1000000,"SLO 不可達")</f>
        <v>59.4418988704086</v>
      </c>
      <c r="W115" s="110" t="n">
        <f aca="false">IF(AND(ISNUMBER(W106)),W106*W19/1000000,"SLO 不可達")</f>
        <v>10.3335095000488</v>
      </c>
      <c r="X115" s="110" t="n">
        <f aca="false">IF(AND(ISNUMBER(X106)),X106*X19/1000000,"SLO 不可達")</f>
        <v>69.7144805266301</v>
      </c>
      <c r="Y115" s="110" t="n">
        <f aca="false">IF(AND(ISNUMBER(Y106)),Y106*Y19/1000000,"SLO 不可達")</f>
        <v>6.99325521565751</v>
      </c>
      <c r="Z115" s="110" t="n">
        <f aca="false">IF(AND(ISNUMBER(Z106)),Z106*Z19/1000000,"SLO 不可達")</f>
        <v>56.9255255714657</v>
      </c>
      <c r="AA115" s="110" t="n">
        <f aca="false">IF(AND(ISNUMBER(AA106)),AA106*AA19/1000000,"SLO 不可達")</f>
        <v>15.4514502900925</v>
      </c>
      <c r="AB115" s="110" t="n">
        <f aca="false">IF(AND(ISNUMBER(AB106)),AB106*AB19/1000000,"SLO 不可達")</f>
        <v>69.6128181831181</v>
      </c>
      <c r="AC115" s="110" t="n">
        <f aca="false">IF(AND(ISNUMBER(AC106)),AC106*AC19/1000000,"SLO 不可達")</f>
        <v>9.8126535738025</v>
      </c>
      <c r="AD115" s="110" t="n">
        <f aca="false">IF(AND(ISNUMBER(AD106)),AD106*AD19/1000000,"SLO 不可達")</f>
        <v>61.1546231086832</v>
      </c>
      <c r="AE115" s="110" t="n">
        <f aca="false">IF(AND(ISNUMBER(AE106)),AE106*AE19/1000000,"SLO 不可達")</f>
        <v>9.8126535738025</v>
      </c>
      <c r="AF115" s="110" t="n">
        <f aca="false">IF(AND(ISNUMBER(AF106)),AF106*AF19/1000000,"SLO 不可達")</f>
        <v>61.1546231086832</v>
      </c>
      <c r="AG115" s="110" t="n">
        <f aca="false">IF(AND(ISNUMBER(AG106)),AG106*AG19/1000000,"SLO 不可達")</f>
        <v>10.5594464780826</v>
      </c>
      <c r="AH115" s="110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58" t="s">
        <v>1083</v>
      </c>
      <c r="B116" s="59" t="s">
        <v>865</v>
      </c>
      <c r="C116" s="72" t="n">
        <f aca="false">IF(AND(ISNUMBER(C106)),C106*C20/1000000,"SLO 不可達")</f>
        <v>7.21758417804626</v>
      </c>
      <c r="D116" s="72" t="n">
        <f aca="false">IF(AND(ISNUMBER(D106)),D106*D20/1000000,"SLO 不可達")</f>
        <v>44.9815778009344</v>
      </c>
      <c r="E116" s="72" t="n">
        <f aca="false">IF(AND(ISNUMBER(E106)),E106*E20/1000000,"SLO 不可達")</f>
        <v>10.1471570251436</v>
      </c>
      <c r="F116" s="72" t="n">
        <f aca="false">IF(AND(ISNUMBER(F106)),F106*F20/1000000,"SLO 不可達")</f>
        <v>64.8403706638933</v>
      </c>
      <c r="G116" s="72" t="n">
        <f aca="false">IF(AND(ISNUMBER(G106)),G106*G20/1000000,"SLO 不可達")</f>
        <v>5.569699451554</v>
      </c>
      <c r="H116" s="72" t="n">
        <f aca="false">IF(AND(ISNUMBER(H106)),H106*H20/1000000,"SLO 不可達")</f>
        <v>33.81100681552</v>
      </c>
      <c r="I116" s="72" t="n">
        <f aca="false">IF(AND(ISNUMBER(I106)),I106*I20/1000000,"SLO 不可達")</f>
        <v>5.02040454272325</v>
      </c>
      <c r="J116" s="72" t="n">
        <f aca="false">IF(AND(ISNUMBER(J106)),J106*J20/1000000,"SLO 不可達")</f>
        <v>30.0874831537152</v>
      </c>
      <c r="K116" s="72" t="n">
        <f aca="false">IF(AND(ISNUMBER(K106)),K106*K20/1000000,"SLO 不可達")</f>
        <v>5.43256302576339</v>
      </c>
      <c r="L116" s="72" t="n">
        <f aca="false">IF(AND(ISNUMBER(L106)),L106*L20/1000000,"SLO 不可達")</f>
        <v>35.5458138513142</v>
      </c>
      <c r="M116" s="72" t="n">
        <f aca="false">IF(AND(ISNUMBER(M106)),M106*M20/1000000,"SLO 不可達")</f>
        <v>9.60951252210531</v>
      </c>
      <c r="N116" s="72" t="n">
        <f aca="false">IF(AND(ISNUMBER(N106)),N106*N20/1000000,"SLO 不可達")</f>
        <v>57.6255014934255</v>
      </c>
      <c r="O116" s="72" t="n">
        <f aca="false">IF(AND(ISNUMBER(O106)),O106*O20/1000000,"SLO 不可達")</f>
        <v>6.28945051131592</v>
      </c>
      <c r="P116" s="72" t="n">
        <f aca="false">IF(AND(ISNUMBER(P106)),P106*P20/1000000,"SLO 不可達")</f>
        <v>30.0915621972675</v>
      </c>
      <c r="Q116" s="72" t="n">
        <f aca="false">IF(AND(ISNUMBER(Q106)),Q106*Q20/1000000,"SLO 不可達")</f>
        <v>9.86939465441866</v>
      </c>
      <c r="R116" s="72" t="n">
        <f aca="false">IF(AND(ISNUMBER(R106)),R106*R20/1000000,"SLO 不可達")</f>
        <v>87.524479525697</v>
      </c>
      <c r="S116" s="72" t="n">
        <f aca="false">IF(AND(ISNUMBER(S106)),S106*S20/1000000,"SLO 不可達")</f>
        <v>7.52325692881778</v>
      </c>
      <c r="T116" s="72" t="n">
        <f aca="false">IF(AND(ISNUMBER(T106)),T106*T20/1000000,"SLO 不可達")</f>
        <v>49.968185444416</v>
      </c>
      <c r="U116" s="72" t="n">
        <f aca="false">IF(AND(ISNUMBER(U106)),U106*U20/1000000,"SLO 不可達")</f>
        <v>7.14036158837767</v>
      </c>
      <c r="V116" s="72" t="n">
        <f aca="false">IF(AND(ISNUMBER(V106)),V106*V20/1000000,"SLO 不可達")</f>
        <v>43.7218032383706</v>
      </c>
      <c r="W116" s="72" t="n">
        <f aca="false">IF(AND(ISNUMBER(W106)),W106*W20/1000000,"SLO 不可達")</f>
        <v>7.60069374815824</v>
      </c>
      <c r="X116" s="72" t="n">
        <f aca="false">IF(AND(ISNUMBER(X106)),X106*X20/1000000,"SLO 不可達")</f>
        <v>51.2776822136132</v>
      </c>
      <c r="Y116" s="72" t="n">
        <f aca="false">IF(AND(ISNUMBER(Y106)),Y106*Y20/1000000,"SLO 不可達")</f>
        <v>5.14380822862473</v>
      </c>
      <c r="Z116" s="72" t="n">
        <f aca="false">IF(AND(ISNUMBER(Z106)),Z106*Z20/1000000,"SLO 不可達")</f>
        <v>41.8709138768021</v>
      </c>
      <c r="AA116" s="72" t="n">
        <f aca="false">IF(AND(ISNUMBER(AA106)),AA106*AA20/1000000,"SLO 不可達")</f>
        <v>11.3651360768893</v>
      </c>
      <c r="AB116" s="72" t="n">
        <f aca="false">IF(AND(ISNUMBER(AB106)),AB106*AB20/1000000,"SLO 不可達")</f>
        <v>51.202905649199</v>
      </c>
      <c r="AC116" s="72" t="n">
        <f aca="false">IF(AND(ISNUMBER(AC106)),AC106*AC20/1000000,"SLO 不可達")</f>
        <v>7.21758417804626</v>
      </c>
      <c r="AD116" s="72" t="n">
        <f aca="false">IF(AND(ISNUMBER(AD106)),AD106*AD20/1000000,"SLO 不可達")</f>
        <v>44.9815778009344</v>
      </c>
      <c r="AE116" s="72" t="n">
        <f aca="false">IF(AND(ISNUMBER(AE106)),AE106*AE20/1000000,"SLO 不可達")</f>
        <v>7.21758417804626</v>
      </c>
      <c r="AF116" s="72" t="n">
        <f aca="false">IF(AND(ISNUMBER(AF106)),AF106*AF20/1000000,"SLO 不可達")</f>
        <v>44.9815778009344</v>
      </c>
      <c r="AG116" s="72" t="n">
        <f aca="false">IF(AND(ISNUMBER(AG106)),AG106*AG20/1000000,"SLO 不可達")</f>
        <v>7.76687908687701</v>
      </c>
      <c r="AH116" s="72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58" t="s">
        <v>1084</v>
      </c>
      <c r="B117" s="59" t="s">
        <v>93</v>
      </c>
      <c r="C117" s="143" t="n">
        <f aca="false">IF(AND(ISNUMBER(C106)),C106/(C18*8760),"SLO 不可達")</f>
        <v>0.000802640124877243</v>
      </c>
      <c r="D117" s="143" t="n">
        <f aca="false">IF(AND(ISNUMBER(D106)),D106/(D18*8760),"SLO 不可達")</f>
        <v>0.00500223043232874</v>
      </c>
      <c r="E117" s="143" t="n">
        <f aca="false">IF(AND(ISNUMBER(E106)),E106/(E18*8760),"SLO 不可達")</f>
        <v>0.00112842679501868</v>
      </c>
      <c r="F117" s="143" t="n">
        <f aca="false">IF(AND(ISNUMBER(F106)),F106/(F18*8760),"SLO 不可達")</f>
        <v>0.00721065136518321</v>
      </c>
      <c r="G117" s="143" t="n">
        <f aca="false">IF(AND(ISNUMBER(G106)),G106/(G18*8760),"SLO 不可達")</f>
        <v>0.000619385122922686</v>
      </c>
      <c r="H117" s="143" t="n">
        <f aca="false">IF(AND(ISNUMBER(H106)),H106/(H18*8760),"SLO 不可達")</f>
        <v>0.00375999365759809</v>
      </c>
      <c r="I117" s="143" t="n">
        <f aca="false">IF(AND(ISNUMBER(I106)),I106/(I18*8760),"SLO 不可達")</f>
        <v>0.000558300122271167</v>
      </c>
      <c r="J117" s="143" t="n">
        <f aca="false">IF(AND(ISNUMBER(J106)),J106/(J18*8760),"SLO 不可達")</f>
        <v>0.00334591473268788</v>
      </c>
      <c r="K117" s="143" t="n">
        <f aca="false">IF(AND(ISNUMBER(K106)),K106/(K18*8760),"SLO 不可達")</f>
        <v>0.000604134701839049</v>
      </c>
      <c r="L117" s="143" t="n">
        <f aca="false">IF(AND(ISNUMBER(L106)),L106/(L18*8760),"SLO 不可達")</f>
        <v>0.00395291495944908</v>
      </c>
      <c r="M117" s="143" t="n">
        <f aca="false">IF(AND(ISNUMBER(M106)),M106/(M18*8760),"SLO 不可達")</f>
        <v>0.00106863739174842</v>
      </c>
      <c r="N117" s="143" t="n">
        <f aca="false">IF(AND(ISNUMBER(N106)),N106/(N18*8760),"SLO 不可達")</f>
        <v>0.00640831316598748</v>
      </c>
      <c r="O117" s="143" t="n">
        <f aca="false">IF(AND(ISNUMBER(O106)),O106/(O18*8760),"SLO 不可達")</f>
        <v>0.000699425904746198</v>
      </c>
      <c r="P117" s="143" t="n">
        <f aca="false">IF(AND(ISNUMBER(P106)),P106/(P18*8760),"SLO 不可達")</f>
        <v>0.00334636834762958</v>
      </c>
      <c r="Q117" s="143" t="n">
        <f aca="false">IF(AND(ISNUMBER(Q106)),Q106/(Q18*8760),"SLO 不可達")</f>
        <v>0.00109753789668023</v>
      </c>
      <c r="R117" s="143" t="n">
        <f aca="false">IF(AND(ISNUMBER(R106)),R106/(R18*8760),"SLO 不可達")</f>
        <v>0.0097332649600406</v>
      </c>
      <c r="S117" s="143" t="n">
        <f aca="false">IF(AND(ISNUMBER(S106)),S106/(S18*8760),"SLO 不可達")</f>
        <v>0.000836632830580224</v>
      </c>
      <c r="T117" s="143" t="n">
        <f aca="false">IF(AND(ISNUMBER(T106)),T106/(T18*8760),"SLO 不可達")</f>
        <v>0.00555677212979201</v>
      </c>
      <c r="U117" s="143" t="n">
        <f aca="false">IF(AND(ISNUMBER(U106)),U106/(U18*8760),"SLO 不可達")</f>
        <v>0.000794052493962806</v>
      </c>
      <c r="V117" s="143" t="n">
        <f aca="false">IF(AND(ISNUMBER(V106)),V106/(V18*8760),"SLO 不可達")</f>
        <v>0.00486213568770643</v>
      </c>
      <c r="W117" s="143" t="n">
        <f aca="false">IF(AND(ISNUMBER(W106)),W106/(W18*8760),"SLO 不可達")</f>
        <v>0.00084524428516285</v>
      </c>
      <c r="X117" s="143" t="n">
        <f aca="false">IF(AND(ISNUMBER(X106)),X106/(X18*8760),"SLO 不可達")</f>
        <v>0.00570239629217473</v>
      </c>
      <c r="Y117" s="143" t="n">
        <f aca="false">IF(AND(ISNUMBER(Y106)),Y106/(Y18*8760),"SLO 不可達")</f>
        <v>0.000572023377507116</v>
      </c>
      <c r="Z117" s="143" t="n">
        <f aca="false">IF(AND(ISNUMBER(Z106)),Z106/(Z18*8760),"SLO 不可達")</f>
        <v>0.00465630531127355</v>
      </c>
      <c r="AA117" s="143" t="n">
        <f aca="false">IF(AND(ISNUMBER(AA106)),AA106/(AA18*8760),"SLO 不可達")</f>
        <v>0.0012638736196175</v>
      </c>
      <c r="AB117" s="143" t="n">
        <f aca="false">IF(AND(ISNUMBER(AB106)),AB106/(AB18*8760),"SLO 不可達")</f>
        <v>0.00569408067443912</v>
      </c>
      <c r="AC117" s="143" t="n">
        <f aca="false">IF(AND(ISNUMBER(AC106)),AC106/(AC18*8760),"SLO 不可達")</f>
        <v>0.000802640124877243</v>
      </c>
      <c r="AD117" s="143" t="n">
        <f aca="false">IF(AND(ISNUMBER(AD106)),AD106/(AD18*8760),"SLO 不可達")</f>
        <v>0.00500223043232874</v>
      </c>
      <c r="AE117" s="143" t="n">
        <f aca="false">IF(AND(ISNUMBER(AE106)),AE106/(AE18*8760),"SLO 不可達")</f>
        <v>0.000802640124877243</v>
      </c>
      <c r="AF117" s="143" t="n">
        <f aca="false">IF(AND(ISNUMBER(AF106)),AF106/(AF18*8760),"SLO 不可達")</f>
        <v>0.00500223043232874</v>
      </c>
      <c r="AG117" s="143" t="n">
        <f aca="false">IF(AND(ISNUMBER(AG106)),AG106/(AG18*8760),"SLO 不可達")</f>
        <v>0.000863725125528762</v>
      </c>
      <c r="AH117" s="143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3" t="s">
        <v>1085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8" t="s">
        <v>1086</v>
      </c>
      <c r="B119" s="59" t="s">
        <v>97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  <c r="R119" s="106" t="n">
        <f aca="false">Train_In!$C$13</f>
        <v>8</v>
      </c>
      <c r="S119" s="106" t="n">
        <f aca="false">Train_In!$C$13</f>
        <v>8</v>
      </c>
      <c r="T119" s="106" t="n">
        <f aca="false">Train_In!$C$13</f>
        <v>8</v>
      </c>
      <c r="U119" s="106" t="n">
        <f aca="false">Train_In!$C$13</f>
        <v>8</v>
      </c>
      <c r="V119" s="106" t="n">
        <f aca="false">Train_In!$C$13</f>
        <v>8</v>
      </c>
      <c r="W119" s="106" t="n">
        <f aca="false">Train_In!$C$13</f>
        <v>8</v>
      </c>
      <c r="X119" s="106" t="n">
        <f aca="false">Train_In!$C$13</f>
        <v>8</v>
      </c>
      <c r="Y119" s="106" t="n">
        <f aca="false">Train_In!$C$13</f>
        <v>8</v>
      </c>
      <c r="Z119" s="106" t="n">
        <f aca="false">Train_In!$C$13</f>
        <v>8</v>
      </c>
      <c r="AA119" s="106" t="n">
        <f aca="false">Train_In!$C$13</f>
        <v>8</v>
      </c>
      <c r="AB119" s="106" t="n">
        <f aca="false">Train_In!$C$13</f>
        <v>8</v>
      </c>
      <c r="AC119" s="145" t="n">
        <v>4.4</v>
      </c>
      <c r="AD119" s="145" t="n">
        <v>4.4</v>
      </c>
      <c r="AE119" s="145" t="n">
        <v>10.4</v>
      </c>
      <c r="AF119" s="145" t="n">
        <v>10.4</v>
      </c>
      <c r="AG119" s="106" t="n">
        <f aca="false">Train_In!$C$13</f>
        <v>8</v>
      </c>
      <c r="AH119" s="106" t="n">
        <f aca="false">Train_In!$C$13</f>
        <v>8</v>
      </c>
    </row>
    <row r="120" customFormat="false" ht="15" hidden="false" customHeight="false" outlineLevel="0" collapsed="false">
      <c r="A120" s="58" t="s">
        <v>1087</v>
      </c>
      <c r="B120" s="59" t="s">
        <v>1010</v>
      </c>
      <c r="C120" s="68" t="n">
        <f aca="false">IF(AND(ISNUMBER(C106)),C106*C119,"SLO 不可達")</f>
        <v>16410314.0767004</v>
      </c>
      <c r="D120" s="68" t="n">
        <f aca="false">IF(AND(ISNUMBER(D106)),D106*D119,"SLO 不可達")</f>
        <v>102272699.724672</v>
      </c>
      <c r="E120" s="68" t="n">
        <f aca="false">IF(AND(ISNUMBER(E106)),E106*E119,"SLO 不可達")</f>
        <v>23071159.2217659</v>
      </c>
      <c r="F120" s="68" t="n">
        <f aca="false">IF(AND(ISNUMBER(F106)),F106*F119,"SLO 不可達")</f>
        <v>147424792.173631</v>
      </c>
      <c r="G120" s="68" t="n">
        <f aca="false">IF(AND(ISNUMBER(G106)),G106*G119,"SLO 不可達")</f>
        <v>12663588.6826011</v>
      </c>
      <c r="H120" s="68" t="n">
        <f aca="false">IF(AND(ISNUMBER(H106)),H106*H119,"SLO 不可達")</f>
        <v>76874647.7221323</v>
      </c>
      <c r="I120" s="68" t="n">
        <f aca="false">IF(AND(ISNUMBER(I106)),I106*I119,"SLO 不可達")</f>
        <v>11414680.2179013</v>
      </c>
      <c r="J120" s="68" t="n">
        <f aca="false">IF(AND(ISNUMBER(J106)),J106*J119,"SLO 不可達")</f>
        <v>68408630.3879524</v>
      </c>
      <c r="K120" s="68" t="n">
        <f aca="false">IF(AND(ISNUMBER(K106)),K106*K119,"SLO 不可達")</f>
        <v>12351787.4256895</v>
      </c>
      <c r="L120" s="68" t="n">
        <f aca="false">IF(AND(ISNUMBER(L106)),L106*L119,"SLO 不可達")</f>
        <v>80819004.6728201</v>
      </c>
      <c r="M120" s="68" t="n">
        <f aca="false">IF(AND(ISNUMBER(M106)),M106*M119,"SLO 不可達")</f>
        <v>21848739.7890551</v>
      </c>
      <c r="N120" s="68" t="n">
        <f aca="false">IF(AND(ISNUMBER(N106)),N106*N119,"SLO 不可達")</f>
        <v>131020651.094153</v>
      </c>
      <c r="O120" s="68" t="n">
        <f aca="false">IF(AND(ISNUMBER(O106)),O106*O119,"SLO 不可達")</f>
        <v>14300056.0456916</v>
      </c>
      <c r="P120" s="68" t="n">
        <f aca="false">IF(AND(ISNUMBER(P106)),P106*P119,"SLO 不可達")</f>
        <v>68417904.735736</v>
      </c>
      <c r="Q120" s="68" t="n">
        <f aca="false">IF(AND(ISNUMBER(Q106)),Q106*Q119,"SLO 不可達")</f>
        <v>22439622.7367257</v>
      </c>
      <c r="R120" s="68" t="n">
        <f aca="false">IF(AND(ISNUMBER(R106)),R106*R119,"SLO 不可達")</f>
        <v>199000685.407346</v>
      </c>
      <c r="S120" s="68" t="n">
        <f aca="false">IF(AND(ISNUMBER(S106)),S106*S119,"SLO 不可達")</f>
        <v>17105309.2054178</v>
      </c>
      <c r="T120" s="68" t="n">
        <f aca="false">IF(AND(ISNUMBER(T106)),T106*T119,"SLO 不可達")</f>
        <v>113610537.370642</v>
      </c>
      <c r="U120" s="68" t="n">
        <f aca="false">IF(AND(ISNUMBER(U106)),U106*U119,"SLO 不可達")</f>
        <v>16234736.3599718</v>
      </c>
      <c r="V120" s="68" t="n">
        <f aca="false">IF(AND(ISNUMBER(V106)),V106*V119,"SLO 不可達")</f>
        <v>99408403.8983218</v>
      </c>
      <c r="W120" s="68" t="n">
        <f aca="false">IF(AND(ISNUMBER(W106)),W106*W119,"SLO 不可達")</f>
        <v>17281374.007037</v>
      </c>
      <c r="X120" s="68" t="n">
        <f aca="false">IF(AND(ISNUMBER(X106)),X106*X119,"SLO 不可達")</f>
        <v>116587884.462805</v>
      </c>
      <c r="Y120" s="68" t="n">
        <f aca="false">IF(AND(ISNUMBER(Y106)),Y106*Y119,"SLO 不可達")</f>
        <v>11695257.9283803</v>
      </c>
      <c r="Z120" s="68" t="n">
        <f aca="false">IF(AND(ISNUMBER(Z106)),Z106*Z119,"SLO 不可達")</f>
        <v>95200115.5021918</v>
      </c>
      <c r="AA120" s="68" t="n">
        <f aca="false">IF(AND(ISNUMBER(AA106)),AA106*AA119,"SLO 不可達")</f>
        <v>25840426.3733406</v>
      </c>
      <c r="AB120" s="68" t="n">
        <f aca="false">IF(AND(ISNUMBER(AB106)),AB106*AB119,"SLO 不可達")</f>
        <v>116417868.169632</v>
      </c>
      <c r="AC120" s="68" t="n">
        <f aca="false">IF(AND(ISNUMBER(AC106)),AC106*AC119,"SLO 不可達")</f>
        <v>9025672.74218523</v>
      </c>
      <c r="AD120" s="68" t="n">
        <f aca="false">IF(AND(ISNUMBER(AD106)),AD106*AD119,"SLO 不可達")</f>
        <v>56249984.8485696</v>
      </c>
      <c r="AE120" s="68" t="n">
        <f aca="false">IF(AND(ISNUMBER(AE106)),AE106*AE119,"SLO 不可達")</f>
        <v>21333408.2997105</v>
      </c>
      <c r="AF120" s="68" t="n">
        <f aca="false">IF(AND(ISNUMBER(AF106)),AF106*AF119,"SLO 不可達")</f>
        <v>132954509.642074</v>
      </c>
      <c r="AG120" s="68" t="n">
        <f aca="false">IF(AND(ISNUMBER(AG106)),AG106*AG119,"SLO 不可達")</f>
        <v>17659222.5414002</v>
      </c>
      <c r="AH120" s="68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58" t="s">
        <v>1088</v>
      </c>
      <c r="B121" s="59" t="s">
        <v>1010</v>
      </c>
      <c r="C121" s="65" t="n">
        <f aca="false">IF(AND(ISNUMBER(C120),ISNUMBER(C106)),C120-C106,"SLO 不可達")</f>
        <v>14359024.8171129</v>
      </c>
      <c r="D121" s="65" t="n">
        <f aca="false">IF(AND(ISNUMBER(D120),ISNUMBER(D106)),D120-D106,"SLO 不可達")</f>
        <v>89488612.259088</v>
      </c>
      <c r="E121" s="65" t="n">
        <f aca="false">IF(AND(ISNUMBER(E120),ISNUMBER(E106)),E120-E106,"SLO 不可達")</f>
        <v>20187264.3190452</v>
      </c>
      <c r="F121" s="65" t="n">
        <f aca="false">IF(AND(ISNUMBER(F120),ISNUMBER(F106)),F120-F106,"SLO 不可達")</f>
        <v>128996693.151927</v>
      </c>
      <c r="G121" s="65" t="n">
        <f aca="false">IF(AND(ISNUMBER(G120),ISNUMBER(G106)),G120-G106,"SLO 不可達")</f>
        <v>11080640.0972759</v>
      </c>
      <c r="H121" s="65" t="n">
        <f aca="false">IF(AND(ISNUMBER(H120),ISNUMBER(H106)),H120-H106,"SLO 不可達")</f>
        <v>67265316.7568657</v>
      </c>
      <c r="I121" s="65" t="n">
        <f aca="false">IF(AND(ISNUMBER(I120),ISNUMBER(I106)),I120-I106,"SLO 不可達")</f>
        <v>9987845.19066364</v>
      </c>
      <c r="J121" s="65" t="n">
        <f aca="false">IF(AND(ISNUMBER(J120),ISNUMBER(J106)),J120-J106,"SLO 不可達")</f>
        <v>59857551.5894584</v>
      </c>
      <c r="K121" s="65" t="n">
        <f aca="false">IF(AND(ISNUMBER(K120),ISNUMBER(K106)),K120-K106,"SLO 不可達")</f>
        <v>10807813.9974783</v>
      </c>
      <c r="L121" s="65" t="n">
        <f aca="false">IF(AND(ISNUMBER(L120),ISNUMBER(L106)),L120-L106,"SLO 不可達")</f>
        <v>70716629.0887176</v>
      </c>
      <c r="M121" s="65" t="n">
        <f aca="false">IF(AND(ISNUMBER(M120),ISNUMBER(M106)),M120-M106,"SLO 不可達")</f>
        <v>19117647.3154232</v>
      </c>
      <c r="N121" s="65" t="n">
        <f aca="false">IF(AND(ISNUMBER(N120),ISNUMBER(N106)),N120-N106,"SLO 不可達")</f>
        <v>114643069.707384</v>
      </c>
      <c r="O121" s="65" t="n">
        <f aca="false">IF(AND(ISNUMBER(O120),ISNUMBER(O106)),O120-O106,"SLO 不可達")</f>
        <v>12512549.0399801</v>
      </c>
      <c r="P121" s="65" t="n">
        <f aca="false">IF(AND(ISNUMBER(P120),ISNUMBER(P106)),P120-P106,"SLO 不可達")</f>
        <v>59865666.643769</v>
      </c>
      <c r="Q121" s="65" t="n">
        <f aca="false">IF(AND(ISNUMBER(Q120),ISNUMBER(Q106)),Q120-Q106,"SLO 不可達")</f>
        <v>19634669.894635</v>
      </c>
      <c r="R121" s="65" t="n">
        <f aca="false">IF(AND(ISNUMBER(R120),ISNUMBER(R106)),R120-R106,"SLO 不可達")</f>
        <v>174125599.731428</v>
      </c>
      <c r="S121" s="65" t="n">
        <f aca="false">IF(AND(ISNUMBER(S120),ISNUMBER(S106)),S120-S106,"SLO 不可達")</f>
        <v>14967145.5547405</v>
      </c>
      <c r="T121" s="65" t="n">
        <f aca="false">IF(AND(ISNUMBER(T120),ISNUMBER(T106)),T120-T106,"SLO 不可達")</f>
        <v>99409220.1993114</v>
      </c>
      <c r="U121" s="65" t="n">
        <f aca="false">IF(AND(ISNUMBER(U120),ISNUMBER(U106)),U120-U106,"SLO 不可達")</f>
        <v>14205394.3149753</v>
      </c>
      <c r="V121" s="65" t="n">
        <f aca="false">IF(AND(ISNUMBER(V120),ISNUMBER(V106)),V120-V106,"SLO 不可達")</f>
        <v>86982353.4110315</v>
      </c>
      <c r="W121" s="65" t="n">
        <f aca="false">IF(AND(ISNUMBER(W120),ISNUMBER(W106)),W120-W106,"SLO 不可達")</f>
        <v>15121202.2561574</v>
      </c>
      <c r="X121" s="65" t="n">
        <f aca="false">IF(AND(ISNUMBER(X120),ISNUMBER(X106)),X120-X106,"SLO 不可達")</f>
        <v>102014398.904954</v>
      </c>
      <c r="Y121" s="65" t="n">
        <f aca="false">IF(AND(ISNUMBER(Y120),ISNUMBER(Y106)),Y120-Y106,"SLO 不可達")</f>
        <v>10233350.6873328</v>
      </c>
      <c r="Z121" s="65" t="n">
        <f aca="false">IF(AND(ISNUMBER(Z120),ISNUMBER(Z106)),Z120-Z106,"SLO 不可達")</f>
        <v>83300101.0644178</v>
      </c>
      <c r="AA121" s="65" t="n">
        <f aca="false">IF(AND(ISNUMBER(AA120),ISNUMBER(AA106)),AA120-AA106,"SLO 不可達")</f>
        <v>22610373.0766731</v>
      </c>
      <c r="AB121" s="65" t="n">
        <f aca="false">IF(AND(ISNUMBER(AB120),ISNUMBER(AB106)),AB120-AB106,"SLO 不可達")</f>
        <v>101865634.648428</v>
      </c>
      <c r="AC121" s="65" t="n">
        <f aca="false">IF(AND(ISNUMBER(AC120),ISNUMBER(AC106)),AC120-AC106,"SLO 不可達")</f>
        <v>6974383.48259768</v>
      </c>
      <c r="AD121" s="65" t="n">
        <f aca="false">IF(AND(ISNUMBER(AD120),ISNUMBER(AD106)),AD120-AD106,"SLO 不可達")</f>
        <v>43465897.3829856</v>
      </c>
      <c r="AE121" s="65" t="n">
        <f aca="false">IF(AND(ISNUMBER(AE120),ISNUMBER(AE106)),AE120-AE106,"SLO 不可達")</f>
        <v>19282119.040123</v>
      </c>
      <c r="AF121" s="65" t="n">
        <f aca="false">IF(AND(ISNUMBER(AF120),ISNUMBER(AF106)),AF120-AF106,"SLO 不可達")</f>
        <v>120170422.17649</v>
      </c>
      <c r="AG121" s="65" t="n">
        <f aca="false">IF(AND(ISNUMBER(AG120),ISNUMBER(AG106)),AG120-AG106,"SLO 不可達")</f>
        <v>15451819.7237252</v>
      </c>
      <c r="AH121" s="65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58" t="s">
        <v>1089</v>
      </c>
      <c r="B122" s="59" t="s">
        <v>865</v>
      </c>
      <c r="C122" s="68" t="n">
        <f aca="false">IF(AND(ISNUMBER(C120)),C120*C19/1000000,"SLO 不可達")</f>
        <v>78.50122859042</v>
      </c>
      <c r="D122" s="68" t="n">
        <f aca="false">IF(AND(ISNUMBER(D120)),D120*D19/1000000,"SLO 不可達")</f>
        <v>489.236984869465</v>
      </c>
      <c r="E122" s="68" t="n">
        <f aca="false">IF(AND(ISNUMBER(E120)),E120*E19/1000000,"SLO 不可達")</f>
        <v>110.364392506373</v>
      </c>
      <c r="F122" s="68" t="n">
        <f aca="false">IF(AND(ISNUMBER(F120)),F120*F19/1000000,"SLO 不可達")</f>
        <v>705.228873513697</v>
      </c>
      <c r="G122" s="68" t="n">
        <f aca="false">IF(AND(ISNUMBER(G120)),G120*G19/1000000,"SLO 不可達")</f>
        <v>60.5781988876964</v>
      </c>
      <c r="H122" s="68" t="n">
        <f aca="false">IF(AND(ISNUMBER(H120)),H120*H19/1000000,"SLO 不可達")</f>
        <v>367.741547507085</v>
      </c>
      <c r="I122" s="68" t="n">
        <f aca="false">IF(AND(ISNUMBER(I120)),I120*I19/1000000,"SLO 不可達")</f>
        <v>54.6038556534553</v>
      </c>
      <c r="J122" s="68" t="n">
        <f aca="false">IF(AND(ISNUMBER(J120)),J120*J19/1000000,"SLO 不可達")</f>
        <v>327.243068386292</v>
      </c>
      <c r="K122" s="68" t="n">
        <f aca="false">IF(AND(ISNUMBER(K120)),K120*K19/1000000,"SLO 不可達")</f>
        <v>59.0866502415709</v>
      </c>
      <c r="L122" s="68" t="n">
        <f aca="false">IF(AND(ISNUMBER(L120)),L120*L19/1000000,"SLO 不可達")</f>
        <v>386.609977762651</v>
      </c>
      <c r="M122" s="68" t="n">
        <f aca="false">IF(AND(ISNUMBER(M120)),M120*M19/1000000,"SLO 不可達")</f>
        <v>104.516763577878</v>
      </c>
      <c r="N122" s="68" t="n">
        <f aca="false">IF(AND(ISNUMBER(N120)),N120*N19/1000000,"SLO 不可達")</f>
        <v>626.757174392596</v>
      </c>
      <c r="O122" s="68" t="n">
        <f aca="false">IF(AND(ISNUMBER(O120)),O120*O19/1000000,"SLO 不可達")</f>
        <v>68.4064889466372</v>
      </c>
      <c r="P122" s="68" t="n">
        <f aca="false">IF(AND(ISNUMBER(P120)),P120*P19/1000000,"SLO 不可達")</f>
        <v>327.287433636828</v>
      </c>
      <c r="Q122" s="68" t="n">
        <f aca="false">IF(AND(ISNUMBER(Q120)),Q120*Q19/1000000,"SLO 不可達")</f>
        <v>107.343341858371</v>
      </c>
      <c r="R122" s="68" t="n">
        <f aca="false">IF(AND(ISNUMBER(R120)),R120*R19/1000000,"SLO 不可達")</f>
        <v>951.949988391287</v>
      </c>
      <c r="S122" s="68" t="n">
        <f aca="false">IF(AND(ISNUMBER(S120)),S120*S19/1000000,"SLO 不可達")</f>
        <v>81.8258432939332</v>
      </c>
      <c r="T122" s="68" t="n">
        <f aca="false">IF(AND(ISNUMBER(T120)),T120*T19/1000000,"SLO 不可達")</f>
        <v>543.473252414827</v>
      </c>
      <c r="U122" s="68" t="n">
        <f aca="false">IF(AND(ISNUMBER(U120)),U120*U19/1000000,"SLO 不可達")</f>
        <v>77.6613259284798</v>
      </c>
      <c r="V122" s="68" t="n">
        <f aca="false">IF(AND(ISNUMBER(V120)),V120*V19/1000000,"SLO 不可達")</f>
        <v>475.535190963269</v>
      </c>
      <c r="W122" s="68" t="n">
        <f aca="false">IF(AND(ISNUMBER(W120)),W120*W19/1000000,"SLO 不可達")</f>
        <v>82.6680760003908</v>
      </c>
      <c r="X122" s="68" t="n">
        <f aca="false">IF(AND(ISNUMBER(X120)),X120*X19/1000000,"SLO 不可達")</f>
        <v>557.715844213041</v>
      </c>
      <c r="Y122" s="68" t="n">
        <f aca="false">IF(AND(ISNUMBER(Y120)),Y120*Y19/1000000,"SLO 不可達")</f>
        <v>55.9460417252601</v>
      </c>
      <c r="Z122" s="68" t="n">
        <f aca="false">IF(AND(ISNUMBER(Z120)),Z120*Z19/1000000,"SLO 不可達")</f>
        <v>455.404204571725</v>
      </c>
      <c r="AA122" s="68" t="n">
        <f aca="false">IF(AND(ISNUMBER(AA120)),AA120*AA19/1000000,"SLO 不可達")</f>
        <v>123.61160232074</v>
      </c>
      <c r="AB122" s="68" t="n">
        <f aca="false">IF(AND(ISNUMBER(AB120)),AB120*AB19/1000000,"SLO 不可達")</f>
        <v>556.902545464945</v>
      </c>
      <c r="AC122" s="68" t="n">
        <f aca="false">IF(AND(ISNUMBER(AC120)),AC120*AC19/1000000,"SLO 不可達")</f>
        <v>43.175675724731</v>
      </c>
      <c r="AD122" s="68" t="n">
        <f aca="false">IF(AND(ISNUMBER(AD120)),AD120*AD19/1000000,"SLO 不可達")</f>
        <v>269.080341678206</v>
      </c>
      <c r="AE122" s="68" t="n">
        <f aca="false">IF(AND(ISNUMBER(AE120)),AE120*AE19/1000000,"SLO 不可達")</f>
        <v>102.051597167546</v>
      </c>
      <c r="AF122" s="68" t="n">
        <f aca="false">IF(AND(ISNUMBER(AF120)),AF120*AF19/1000000,"SLO 不可達")</f>
        <v>636.008080330305</v>
      </c>
      <c r="AG122" s="68" t="n">
        <f aca="false">IF(AND(ISNUMBER(AG120)),AG120*AG19/1000000,"SLO 不可達")</f>
        <v>84.4755718246611</v>
      </c>
      <c r="AH122" s="68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58" t="s">
        <v>1090</v>
      </c>
      <c r="B123" s="59" t="s">
        <v>93</v>
      </c>
      <c r="C123" s="98" t="n">
        <f aca="false">IF(AND(ISNUMBER(C120)),C120/(C18*8760),"SLO 不可達")</f>
        <v>0.00642112099901794</v>
      </c>
      <c r="D123" s="98" t="n">
        <f aca="false">IF(AND(ISNUMBER(D120)),D120/(D18*8760),"SLO 不可達")</f>
        <v>0.0400178434586299</v>
      </c>
      <c r="E123" s="98" t="n">
        <f aca="false">IF(AND(ISNUMBER(E120)),E120/(E18*8760),"SLO 不可達")</f>
        <v>0.00902741436014942</v>
      </c>
      <c r="F123" s="98" t="n">
        <f aca="false">IF(AND(ISNUMBER(F120)),F120/(F18*8760),"SLO 不可達")</f>
        <v>0.0576852109214657</v>
      </c>
      <c r="G123" s="98" t="n">
        <f aca="false">IF(AND(ISNUMBER(G120)),G120/(G18*8760),"SLO 不可達")</f>
        <v>0.00495508098338149</v>
      </c>
      <c r="H123" s="98" t="n">
        <f aca="false">IF(AND(ISNUMBER(H120)),H120/(H18*8760),"SLO 不可達")</f>
        <v>0.0300799492607848</v>
      </c>
      <c r="I123" s="98" t="n">
        <f aca="false">IF(AND(ISNUMBER(I120)),I120/(I18*8760),"SLO 不可達")</f>
        <v>0.00446640097816934</v>
      </c>
      <c r="J123" s="98" t="n">
        <f aca="false">IF(AND(ISNUMBER(J120)),J120/(J18*8760),"SLO 不可達")</f>
        <v>0.0267673178615031</v>
      </c>
      <c r="K123" s="98" t="n">
        <f aca="false">IF(AND(ISNUMBER(K120)),K120/(K18*8760),"SLO 不可達")</f>
        <v>0.0048330776147124</v>
      </c>
      <c r="L123" s="98" t="n">
        <f aca="false">IF(AND(ISNUMBER(L120)),L120/(L18*8760),"SLO 不可達")</f>
        <v>0.0316233196755926</v>
      </c>
      <c r="M123" s="98" t="n">
        <f aca="false">IF(AND(ISNUMBER(M120)),M120/(M18*8760),"SLO 不可達")</f>
        <v>0.00854909913398737</v>
      </c>
      <c r="N123" s="98" t="n">
        <f aca="false">IF(AND(ISNUMBER(N120)),N120/(N18*8760),"SLO 不可達")</f>
        <v>0.0512665053278999</v>
      </c>
      <c r="O123" s="98" t="n">
        <f aca="false">IF(AND(ISNUMBER(O120)),O120/(O18*8760),"SLO 不可達")</f>
        <v>0.00559540723796958</v>
      </c>
      <c r="P123" s="98" t="n">
        <f aca="false">IF(AND(ISNUMBER(P120)),P120/(P18*8760),"SLO 不可達")</f>
        <v>0.0267709467810367</v>
      </c>
      <c r="Q123" s="98" t="n">
        <f aca="false">IF(AND(ISNUMBER(Q120)),Q120/(Q18*8760),"SLO 不可達")</f>
        <v>0.00878030317344182</v>
      </c>
      <c r="R123" s="98" t="n">
        <f aca="false">IF(AND(ISNUMBER(R120)),R120/(R18*8760),"SLO 不可達")</f>
        <v>0.0778661196803248</v>
      </c>
      <c r="S123" s="98" t="n">
        <f aca="false">IF(AND(ISNUMBER(S120)),S120/(S18*8760),"SLO 不可達")</f>
        <v>0.00669306264464179</v>
      </c>
      <c r="T123" s="98" t="n">
        <f aca="false">IF(AND(ISNUMBER(T120)),T120/(T18*8760),"SLO 不可達")</f>
        <v>0.0444541770383361</v>
      </c>
      <c r="U123" s="98" t="n">
        <f aca="false">IF(AND(ISNUMBER(U120)),U120/(U18*8760),"SLO 不可達")</f>
        <v>0.00635241995170244</v>
      </c>
      <c r="V123" s="98" t="n">
        <f aca="false">IF(AND(ISNUMBER(V120)),V120/(V18*8760),"SLO 不可達")</f>
        <v>0.0388970855016515</v>
      </c>
      <c r="W123" s="98" t="n">
        <f aca="false">IF(AND(ISNUMBER(W120)),W120/(W18*8760),"SLO 不可達")</f>
        <v>0.0067619542813028</v>
      </c>
      <c r="X123" s="98" t="n">
        <f aca="false">IF(AND(ISNUMBER(X120)),X120/(X18*8760),"SLO 不可達")</f>
        <v>0.0456191703373979</v>
      </c>
      <c r="Y123" s="98" t="n">
        <f aca="false">IF(AND(ISNUMBER(Y120)),Y120/(Y18*8760),"SLO 不可達")</f>
        <v>0.00457618702005692</v>
      </c>
      <c r="Z123" s="98" t="n">
        <f aca="false">IF(AND(ISNUMBER(Z120)),Z120/(Z18*8760),"SLO 不可達")</f>
        <v>0.0372504424901884</v>
      </c>
      <c r="AA123" s="98" t="n">
        <f aca="false">IF(AND(ISNUMBER(AA120)),AA120/(AA18*8760),"SLO 不可達")</f>
        <v>0.01011098895694</v>
      </c>
      <c r="AB123" s="98" t="n">
        <f aca="false">IF(AND(ISNUMBER(AB120)),AB120/(AB18*8760),"SLO 不可達")</f>
        <v>0.0455526453955129</v>
      </c>
      <c r="AC123" s="98" t="n">
        <f aca="false">IF(AND(ISNUMBER(AC120)),AC120/(AC18*8760),"SLO 不可達")</f>
        <v>0.00353161654945987</v>
      </c>
      <c r="AD123" s="98" t="n">
        <f aca="false">IF(AND(ISNUMBER(AD120)),AD120/(AD18*8760),"SLO 不可達")</f>
        <v>0.0220098139022464</v>
      </c>
      <c r="AE123" s="98" t="n">
        <f aca="false">IF(AND(ISNUMBER(AE120)),AE120/(AE18*8760),"SLO 不可達")</f>
        <v>0.00834745729872333</v>
      </c>
      <c r="AF123" s="98" t="n">
        <f aca="false">IF(AND(ISNUMBER(AF120)),AF120/(AF18*8760),"SLO 不可達")</f>
        <v>0.0520231964962189</v>
      </c>
      <c r="AG123" s="98" t="n">
        <f aca="false">IF(AND(ISNUMBER(AG120)),AG120/(AG18*8760),"SLO 不可達")</f>
        <v>0.00690980100423009</v>
      </c>
      <c r="AH123" s="98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3" t="s">
        <v>1091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8" t="s">
        <v>1092</v>
      </c>
      <c r="B125" s="59" t="s">
        <v>1010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8" t="s">
        <v>1093</v>
      </c>
      <c r="B126" s="59" t="s">
        <v>1010</v>
      </c>
      <c r="C126" s="65" t="n">
        <f aca="false">IF(AND(ISNUMBER(C65),ISNUMBER(C86)),C65+C74+C86+C87,"SLO 不可達")</f>
        <v>209542.386794135</v>
      </c>
      <c r="D126" s="65" t="n">
        <f aca="false">IF(AND(ISNUMBER(D65),ISNUMBER(D86)),D65+D74+D86+D87,"SLO 不可達")</f>
        <v>3404528.00266708</v>
      </c>
      <c r="E126" s="65" t="n">
        <f aca="false">IF(AND(ISNUMBER(E65),ISNUMBER(E86)),E65+E74+E86+E87,"SLO 不可達")</f>
        <v>209542.386794135</v>
      </c>
      <c r="F126" s="65" t="n">
        <f aca="false">IF(AND(ISNUMBER(F65),ISNUMBER(F86)),F65+F74+F86+F87,"SLO 不可達")</f>
        <v>3404528.00266708</v>
      </c>
      <c r="G126" s="65" t="n">
        <f aca="false">IF(AND(ISNUMBER(G65),ISNUMBER(G86)),G65+G74+G86+G87,"SLO 不可達")</f>
        <v>209542.386794135</v>
      </c>
      <c r="H126" s="65" t="n">
        <f aca="false">IF(AND(ISNUMBER(H65),ISNUMBER(H86)),H65+H74+H86+H87,"SLO 不可達")</f>
        <v>3404528.00266708</v>
      </c>
      <c r="I126" s="65" t="n">
        <f aca="false">IF(AND(ISNUMBER(I65),ISNUMBER(I86)),I65+I74+I86+I87,"SLO 不可達")</f>
        <v>209542.386794135</v>
      </c>
      <c r="J126" s="65" t="n">
        <f aca="false">IF(AND(ISNUMBER(J65),ISNUMBER(J86)),J65+J74+J86+J87,"SLO 不可達")</f>
        <v>3404528.00266708</v>
      </c>
      <c r="K126" s="65" t="n">
        <f aca="false">IF(AND(ISNUMBER(K65),ISNUMBER(K86)),K65+K74+K86+K87,"SLO 不可達")</f>
        <v>209542.386794135</v>
      </c>
      <c r="L126" s="65" t="n">
        <f aca="false">IF(AND(ISNUMBER(L65),ISNUMBER(L86)),L65+L74+L86+L87,"SLO 不可達")</f>
        <v>3404528.00266708</v>
      </c>
      <c r="M126" s="65" t="n">
        <f aca="false">IF(AND(ISNUMBER(M65),ISNUMBER(M86)),M65+M74+M86+M87,"SLO 不可達")</f>
        <v>209542.386794135</v>
      </c>
      <c r="N126" s="65" t="n">
        <f aca="false">IF(AND(ISNUMBER(N65),ISNUMBER(N86)),N65+N74+N86+N87,"SLO 不可達")</f>
        <v>3404528.00266708</v>
      </c>
      <c r="O126" s="65" t="n">
        <f aca="false">IF(AND(ISNUMBER(O65),ISNUMBER(O86)),O65+O74+O86+O87,"SLO 不可達")</f>
        <v>74979.1635871987</v>
      </c>
      <c r="P126" s="65" t="n">
        <f aca="false">IF(AND(ISNUMBER(P65),ISNUMBER(P86)),P65+P74+P86+P87,"SLO 不可達")</f>
        <v>1072119.43971675</v>
      </c>
      <c r="Q126" s="65" t="n">
        <f aca="false">IF(AND(ISNUMBER(Q65),ISNUMBER(Q86)),Q65+Q74+Q86+Q87,"SLO 不可達")</f>
        <v>594008.738813953</v>
      </c>
      <c r="R126" s="65" t="n">
        <f aca="false">IF(AND(ISNUMBER(R65),ISNUMBER(R86)),R65+R74+R86+R87,"SLO 不可達")</f>
        <v>10068552.4682394</v>
      </c>
      <c r="S126" s="65" t="n">
        <f aca="false">IF(AND(ISNUMBER(S65),ISNUMBER(S86)),S65+S74+S86+S87,"SLO 不可達")</f>
        <v>296416.777883803</v>
      </c>
      <c r="T126" s="65" t="n">
        <f aca="false">IF(AND(ISNUMBER(T65),ISNUMBER(T86)),T65+T74+T86+T87,"SLO 不可達")</f>
        <v>4821757.70841329</v>
      </c>
      <c r="U126" s="65" t="n">
        <f aca="false">IF(AND(ISNUMBER(U65),ISNUMBER(U86)),U65+U74+U86+U87,"SLO 不可達")</f>
        <v>187595.172203061</v>
      </c>
      <c r="V126" s="65" t="n">
        <f aca="false">IF(AND(ISNUMBER(V65),ISNUMBER(V86)),V65+V74+V86+V87,"SLO 不可達")</f>
        <v>3046491.0243733</v>
      </c>
      <c r="W126" s="65" t="n">
        <f aca="false">IF(AND(ISNUMBER(W65),ISNUMBER(W86)),W65+W74+W86+W87,"SLO 不可達")</f>
        <v>316651.707962845</v>
      </c>
      <c r="X126" s="65" t="n">
        <f aca="false">IF(AND(ISNUMBER(X65),ISNUMBER(X86)),X65+X74+X86+X87,"SLO 不可達")</f>
        <v>5178571.39923769</v>
      </c>
      <c r="Y126" s="65" t="n">
        <f aca="false">IF(AND(ISNUMBER(Y65),ISNUMBER(Y86)),Y65+Y74+Y86+Y87,"SLO 不可達")</f>
        <v>209542.386794135</v>
      </c>
      <c r="Z126" s="65" t="n">
        <f aca="false">IF(AND(ISNUMBER(Z65),ISNUMBER(Z86)),Z65+Z74+Z86+Z87,"SLO 不可達")</f>
        <v>3404528.00266708</v>
      </c>
      <c r="AA126" s="65" t="n">
        <f aca="false">IF(AND(ISNUMBER(AA65),ISNUMBER(AA86)),AA65+AA74+AA86+AA87,"SLO 不可達")</f>
        <v>209542.386794135</v>
      </c>
      <c r="AB126" s="65" t="n">
        <f aca="false">IF(AND(ISNUMBER(AB65),ISNUMBER(AB86)),AB65+AB74+AB86+AB87,"SLO 不可達")</f>
        <v>3404528.00266708</v>
      </c>
      <c r="AC126" s="65" t="n">
        <f aca="false">IF(AND(ISNUMBER(AC65),ISNUMBER(AC86)),AC65+AC74+AC86+AC87,"SLO 不可達")</f>
        <v>209542.386794135</v>
      </c>
      <c r="AD126" s="65" t="n">
        <f aca="false">IF(AND(ISNUMBER(AD65),ISNUMBER(AD86)),AD65+AD74+AD86+AD87,"SLO 不可達")</f>
        <v>3404528.00266708</v>
      </c>
      <c r="AE126" s="65" t="n">
        <f aca="false">IF(AND(ISNUMBER(AE65),ISNUMBER(AE86)),AE65+AE74+AE86+AE87,"SLO 不可達")</f>
        <v>209542.386794135</v>
      </c>
      <c r="AF126" s="65" t="n">
        <f aca="false">IF(AND(ISNUMBER(AF65),ISNUMBER(AF86)),AF65+AF74+AF86+AF87,"SLO 不可達")</f>
        <v>3404528.00266708</v>
      </c>
      <c r="AG126" s="65" t="n">
        <f aca="false">IF(AND(ISNUMBER(AG65),ISNUMBER(AG86)),AG65+AG74+AG86+AG87,"SLO 不可達")</f>
        <v>209542.386794135</v>
      </c>
      <c r="AH126" s="65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58" t="s">
        <v>1094</v>
      </c>
      <c r="B127" s="59" t="s">
        <v>1010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8" t="s">
        <v>1095</v>
      </c>
      <c r="B128" s="59" t="s">
        <v>1010</v>
      </c>
      <c r="C128" s="65" t="n">
        <f aca="false">IF(AND(ISNUMBER(C105)),C105,"SLO 不可達")</f>
        <v>592838.408093639</v>
      </c>
      <c r="D128" s="65" t="n">
        <f aca="false">IF(AND(ISNUMBER(D105)),D105,"SLO 不可達")</f>
        <v>913542.128737021</v>
      </c>
      <c r="E128" s="65" t="n">
        <f aca="false">IF(AND(ISNUMBER(E105)),E105,"SLO 不可達")</f>
        <v>592838.408093639</v>
      </c>
      <c r="F128" s="65" t="n">
        <f aca="false">IF(AND(ISNUMBER(F105)),F105,"SLO 不可達")</f>
        <v>913542.128737021</v>
      </c>
      <c r="G128" s="65" t="n">
        <f aca="false">IF(AND(ISNUMBER(G105)),G105,"SLO 不可達")</f>
        <v>592838.408093639</v>
      </c>
      <c r="H128" s="65" t="n">
        <f aca="false">IF(AND(ISNUMBER(H105)),H105,"SLO 不可達")</f>
        <v>913542.128737021</v>
      </c>
      <c r="I128" s="65" t="n">
        <f aca="false">IF(AND(ISNUMBER(I105)),I105,"SLO 不可達")</f>
        <v>592838.408093639</v>
      </c>
      <c r="J128" s="65" t="n">
        <f aca="false">IF(AND(ISNUMBER(J105)),J105,"SLO 不可達")</f>
        <v>913542.128737021</v>
      </c>
      <c r="K128" s="65" t="n">
        <f aca="false">IF(AND(ISNUMBER(K105)),K105,"SLO 不可達")</f>
        <v>592838.408093639</v>
      </c>
      <c r="L128" s="65" t="n">
        <f aca="false">IF(AND(ISNUMBER(L105)),L105,"SLO 不可達")</f>
        <v>913542.128737021</v>
      </c>
      <c r="M128" s="65" t="n">
        <f aca="false">IF(AND(ISNUMBER(M105)),M105,"SLO 不可達")</f>
        <v>592838.408093639</v>
      </c>
      <c r="N128" s="65" t="n">
        <f aca="false">IF(AND(ISNUMBER(N105)),N105,"SLO 不可達")</f>
        <v>913542.128737021</v>
      </c>
      <c r="O128" s="65" t="n">
        <f aca="false">IF(AND(ISNUMBER(O105)),O105,"SLO 不可達")</f>
        <v>592838.408093639</v>
      </c>
      <c r="P128" s="65" t="n">
        <f aca="false">IF(AND(ISNUMBER(P105)),P105,"SLO 不可達")</f>
        <v>913542.128737021</v>
      </c>
      <c r="Q128" s="65" t="n">
        <f aca="false">IF(AND(ISNUMBER(Q105)),Q105,"SLO 不可達")</f>
        <v>592838.408093639</v>
      </c>
      <c r="R128" s="65" t="n">
        <f aca="false">IF(AND(ISNUMBER(R105)),R105,"SLO 不可達")</f>
        <v>913542.128737021</v>
      </c>
      <c r="S128" s="65" t="n">
        <f aca="false">IF(AND(ISNUMBER(S105)),S105,"SLO 不可達")</f>
        <v>592838.408093639</v>
      </c>
      <c r="T128" s="65" t="n">
        <f aca="false">IF(AND(ISNUMBER(T105)),T105,"SLO 不可達")</f>
        <v>913542.128737021</v>
      </c>
      <c r="U128" s="65" t="n">
        <f aca="false">IF(AND(ISNUMBER(U105)),U105,"SLO 不可達")</f>
        <v>592838.408093639</v>
      </c>
      <c r="V128" s="65" t="n">
        <f aca="false">IF(AND(ISNUMBER(V105)),V105,"SLO 不可達")</f>
        <v>913542.128737021</v>
      </c>
      <c r="W128" s="65" t="n">
        <f aca="false">IF(AND(ISNUMBER(W105)),W105,"SLO 不可達")</f>
        <v>594611.578217</v>
      </c>
      <c r="X128" s="65" t="n">
        <f aca="false">IF(AND(ISNUMBER(X105)),X105,"SLO 不可達")</f>
        <v>928896.82443303</v>
      </c>
      <c r="Y128" s="65" t="n">
        <f aca="false">IF(AND(ISNUMBER(Y105)),Y105,"SLO 不可達")</f>
        <v>3456.38955362504</v>
      </c>
      <c r="Z128" s="65" t="n">
        <f aca="false">IF(AND(ISNUMBER(Z105)),Z105,"SLO 不可達")</f>
        <v>29469.1009270007</v>
      </c>
      <c r="AA128" s="65" t="n">
        <f aca="false">IF(AND(ISNUMBER(AA105)),AA105,"SLO 不可達")</f>
        <v>1771602.44517367</v>
      </c>
      <c r="AB128" s="65" t="n">
        <f aca="false">IF(AND(ISNUMBER(AB105)),AB105,"SLO 不可達")</f>
        <v>2681688.18435706</v>
      </c>
      <c r="AC128" s="65" t="n">
        <f aca="false">IF(AND(ISNUMBER(AC105)),AC105,"SLO 不可達")</f>
        <v>592838.408093639</v>
      </c>
      <c r="AD128" s="65" t="n">
        <f aca="false">IF(AND(ISNUMBER(AD105)),AD105,"SLO 不可達")</f>
        <v>913542.128737021</v>
      </c>
      <c r="AE128" s="65" t="n">
        <f aca="false">IF(AND(ISNUMBER(AE105)),AE105,"SLO 不可達")</f>
        <v>592838.408093639</v>
      </c>
      <c r="AF128" s="65" t="n">
        <f aca="false">IF(AND(ISNUMBER(AF105)),AF105,"SLO 不可達")</f>
        <v>913542.128737021</v>
      </c>
      <c r="AG128" s="65" t="n">
        <f aca="false">IF(AND(ISNUMBER(AG105)),AG105,"SLO 不可達")</f>
        <v>592838.408093639</v>
      </c>
      <c r="AH128" s="65" t="n">
        <f aca="false">IF(AND(ISNUMBER(AH105)),AH105,"SLO 不可達")</f>
        <v>913542.128737021</v>
      </c>
    </row>
    <row r="129" customFormat="false" ht="15" hidden="false" customHeight="false" outlineLevel="0" collapsed="false">
      <c r="A129" s="58" t="s">
        <v>1096</v>
      </c>
      <c r="B129" s="59" t="s">
        <v>1010</v>
      </c>
      <c r="C129" s="65" t="n">
        <f aca="false">IF(AND(ISNUMBER(C121)),C121,"SLO 不可達")</f>
        <v>14359024.8171129</v>
      </c>
      <c r="D129" s="65" t="n">
        <f aca="false">IF(AND(ISNUMBER(D121)),D121,"SLO 不可達")</f>
        <v>89488612.259088</v>
      </c>
      <c r="E129" s="65" t="n">
        <f aca="false">IF(AND(ISNUMBER(E121)),E121,"SLO 不可達")</f>
        <v>20187264.3190452</v>
      </c>
      <c r="F129" s="65" t="n">
        <f aca="false">IF(AND(ISNUMBER(F121)),F121,"SLO 不可達")</f>
        <v>128996693.151927</v>
      </c>
      <c r="G129" s="65" t="n">
        <f aca="false">IF(AND(ISNUMBER(G121)),G121,"SLO 不可達")</f>
        <v>11080640.0972759</v>
      </c>
      <c r="H129" s="65" t="n">
        <f aca="false">IF(AND(ISNUMBER(H121)),H121,"SLO 不可達")</f>
        <v>67265316.7568657</v>
      </c>
      <c r="I129" s="65" t="n">
        <f aca="false">IF(AND(ISNUMBER(I121)),I121,"SLO 不可達")</f>
        <v>9987845.19066364</v>
      </c>
      <c r="J129" s="65" t="n">
        <f aca="false">IF(AND(ISNUMBER(J121)),J121,"SLO 不可達")</f>
        <v>59857551.5894584</v>
      </c>
      <c r="K129" s="65" t="n">
        <f aca="false">IF(AND(ISNUMBER(K121)),K121,"SLO 不可達")</f>
        <v>10807813.9974783</v>
      </c>
      <c r="L129" s="65" t="n">
        <f aca="false">IF(AND(ISNUMBER(L121)),L121,"SLO 不可達")</f>
        <v>70716629.0887176</v>
      </c>
      <c r="M129" s="65" t="n">
        <f aca="false">IF(AND(ISNUMBER(M121)),M121,"SLO 不可達")</f>
        <v>19117647.3154232</v>
      </c>
      <c r="N129" s="65" t="n">
        <f aca="false">IF(AND(ISNUMBER(N121)),N121,"SLO 不可達")</f>
        <v>114643069.707384</v>
      </c>
      <c r="O129" s="65" t="n">
        <f aca="false">IF(AND(ISNUMBER(O121)),O121,"SLO 不可達")</f>
        <v>12512549.0399801</v>
      </c>
      <c r="P129" s="65" t="n">
        <f aca="false">IF(AND(ISNUMBER(P121)),P121,"SLO 不可達")</f>
        <v>59865666.643769</v>
      </c>
      <c r="Q129" s="65" t="n">
        <f aca="false">IF(AND(ISNUMBER(Q121)),Q121,"SLO 不可達")</f>
        <v>19634669.894635</v>
      </c>
      <c r="R129" s="65" t="n">
        <f aca="false">IF(AND(ISNUMBER(R121)),R121,"SLO 不可達")</f>
        <v>174125599.731428</v>
      </c>
      <c r="S129" s="65" t="n">
        <f aca="false">IF(AND(ISNUMBER(S121)),S121,"SLO 不可達")</f>
        <v>14967145.5547405</v>
      </c>
      <c r="T129" s="65" t="n">
        <f aca="false">IF(AND(ISNUMBER(T121)),T121,"SLO 不可達")</f>
        <v>99409220.1993114</v>
      </c>
      <c r="U129" s="65" t="n">
        <f aca="false">IF(AND(ISNUMBER(U121)),U121,"SLO 不可達")</f>
        <v>14205394.3149753</v>
      </c>
      <c r="V129" s="65" t="n">
        <f aca="false">IF(AND(ISNUMBER(V121)),V121,"SLO 不可達")</f>
        <v>86982353.4110315</v>
      </c>
      <c r="W129" s="65" t="n">
        <f aca="false">IF(AND(ISNUMBER(W121)),W121,"SLO 不可達")</f>
        <v>15121202.2561574</v>
      </c>
      <c r="X129" s="65" t="n">
        <f aca="false">IF(AND(ISNUMBER(X121)),X121,"SLO 不可達")</f>
        <v>102014398.904954</v>
      </c>
      <c r="Y129" s="65" t="n">
        <f aca="false">IF(AND(ISNUMBER(Y121)),Y121,"SLO 不可達")</f>
        <v>10233350.6873328</v>
      </c>
      <c r="Z129" s="65" t="n">
        <f aca="false">IF(AND(ISNUMBER(Z121)),Z121,"SLO 不可達")</f>
        <v>83300101.0644178</v>
      </c>
      <c r="AA129" s="65" t="n">
        <f aca="false">IF(AND(ISNUMBER(AA121)),AA121,"SLO 不可達")</f>
        <v>22610373.0766731</v>
      </c>
      <c r="AB129" s="65" t="n">
        <f aca="false">IF(AND(ISNUMBER(AB121)),AB121,"SLO 不可達")</f>
        <v>101865634.648428</v>
      </c>
      <c r="AC129" s="65" t="n">
        <f aca="false">IF(AND(ISNUMBER(AC121)),AC121,"SLO 不可達")</f>
        <v>6974383.48259768</v>
      </c>
      <c r="AD129" s="65" t="n">
        <f aca="false">IF(AND(ISNUMBER(AD121)),AD121,"SLO 不可達")</f>
        <v>43465897.3829856</v>
      </c>
      <c r="AE129" s="65" t="n">
        <f aca="false">IF(AND(ISNUMBER(AE121)),AE121,"SLO 不可達")</f>
        <v>19282119.040123</v>
      </c>
      <c r="AF129" s="65" t="n">
        <f aca="false">IF(AND(ISNUMBER(AF121)),AF121,"SLO 不可達")</f>
        <v>120170422.17649</v>
      </c>
      <c r="AG129" s="65" t="n">
        <f aca="false">IF(AND(ISNUMBER(AG121)),AG121,"SLO 不可達")</f>
        <v>15451819.7237252</v>
      </c>
      <c r="AH129" s="65" t="n">
        <f aca="false">IF(AND(ISNUMBER(AH121)),AH121,"SLO 不可達")</f>
        <v>96896377.4264954</v>
      </c>
    </row>
    <row r="130" customFormat="false" ht="15" hidden="false" customHeight="false" outlineLevel="0" collapsed="false">
      <c r="A130" s="73" t="s">
        <v>1120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8" t="s">
        <v>1121</v>
      </c>
      <c r="B131" s="59" t="s">
        <v>97</v>
      </c>
      <c r="C131" s="102" t="n">
        <f aca="false">IF(AND(ISNUMBER(C106),ISNUMBER($C$106)),C106/$C$106,"SLO 不可達")</f>
        <v>1</v>
      </c>
      <c r="D131" s="102" t="n">
        <f aca="false">IF(AND(ISNUMBER(D106),ISNUMBER($D$106)),D106/$D$106,"SLO 不可達")</f>
        <v>1</v>
      </c>
      <c r="E131" s="102" t="n">
        <f aca="false">IF(AND(ISNUMBER(E106),ISNUMBER($C$106)),E106/$C$106,"SLO 不可達")</f>
        <v>1.40589382469667</v>
      </c>
      <c r="F131" s="102" t="n">
        <f aca="false">IF(AND(ISNUMBER(F106),ISNUMBER($D$106)),F106/$D$106,"SLO 不可達")</f>
        <v>1.44148724508606</v>
      </c>
      <c r="G131" s="102" t="n">
        <f aca="false">IF(AND(ISNUMBER(G106),ISNUMBER($C$106)),G106/$C$106,"SLO 不可達")</f>
        <v>0.771684723608125</v>
      </c>
      <c r="H131" s="102" t="n">
        <f aca="false">IF(AND(ISNUMBER(H106),ISNUMBER($D$106)),H106/$D$106,"SLO 不可達")</f>
        <v>0.75166342463909</v>
      </c>
      <c r="I131" s="102" t="n">
        <f aca="false">IF(AND(ISNUMBER(I106),ISNUMBER($C$106)),I106/$C$106,"SLO 不可達")</f>
        <v>0.6955796314775</v>
      </c>
      <c r="J131" s="102" t="n">
        <f aca="false">IF(AND(ISNUMBER(J106),ISNUMBER($D$106)),J106/$D$106,"SLO 不可達")</f>
        <v>0.668884566185454</v>
      </c>
      <c r="K131" s="102" t="n">
        <f aca="false">IF(AND(ISNUMBER(K106),ISNUMBER($C$106)),K106/$C$106,"SLO 不可達")</f>
        <v>0.752684401283137</v>
      </c>
      <c r="L131" s="102" t="n">
        <f aca="false">IF(AND(ISNUMBER(L106),ISNUMBER($D$106)),L106/$D$106,"SLO 不可達")</f>
        <v>0.790230480767524</v>
      </c>
      <c r="M131" s="102" t="n">
        <f aca="false">IF(AND(ISNUMBER(M106),ISNUMBER($C$106)),M106/$C$106,"SLO 不可達")</f>
        <v>1.3314029022806</v>
      </c>
      <c r="N131" s="102" t="n">
        <f aca="false">IF(AND(ISNUMBER(N106),ISNUMBER($D$106)),N106/$D$106,"SLO 不可達")</f>
        <v>1.28109115577152</v>
      </c>
      <c r="O131" s="102" t="n">
        <f aca="false">IF(AND(ISNUMBER(O106),ISNUMBER($C$106)),O106/$C$106,"SLO 不可達")</f>
        <v>0.871406603118888</v>
      </c>
      <c r="P131" s="102" t="n">
        <f aca="false">IF(AND(ISNUMBER(P106),ISNUMBER($D$106)),P106/$D$106,"SLO 不可達")</f>
        <v>0.668975248721542</v>
      </c>
      <c r="Q131" s="102" t="n">
        <f aca="false">IF(AND(ISNUMBER(Q106),ISNUMBER($C$106)),Q106/$C$106,"SLO 不可達")</f>
        <v>1.36740970537461</v>
      </c>
      <c r="R131" s="102" t="n">
        <f aca="false">IF(AND(ISNUMBER(R106),ISNUMBER($D$106)),R106/$D$106,"SLO 不可達")</f>
        <v>1.94578500365274</v>
      </c>
      <c r="S131" s="102" t="n">
        <f aca="false">IF(AND(ISNUMBER(S106),ISNUMBER($C$106)),S106/$C$106,"SLO 不可達")</f>
        <v>1.04235111683232</v>
      </c>
      <c r="T131" s="102" t="n">
        <f aca="false">IF(AND(ISNUMBER(T106),ISNUMBER($D$106)),T106/$D$106,"SLO 不可達")</f>
        <v>1.11085888684363</v>
      </c>
      <c r="U131" s="102" t="n">
        <f aca="false">IF(AND(ISNUMBER(U106),ISNUMBER($C$106)),U106/$C$106,"SLO 不可達")</f>
        <v>0.989300770484468</v>
      </c>
      <c r="V131" s="102" t="n">
        <f aca="false">IF(AND(ISNUMBER(V106),ISNUMBER($D$106)),V106/$D$106,"SLO 不可達")</f>
        <v>0.971993544376347</v>
      </c>
      <c r="W131" s="102" t="n">
        <f aca="false">IF(AND(ISNUMBER(W106),ISNUMBER($C$106)),W106/$C$106,"SLO 不可達")</f>
        <v>1.05308002797907</v>
      </c>
      <c r="X131" s="102" t="n">
        <f aca="false">IF(AND(ISNUMBER(X106),ISNUMBER($D$106)),X106/$D$106,"SLO 不可達")</f>
        <v>1.13997073291964</v>
      </c>
      <c r="Y131" s="102" t="n">
        <f aca="false">IF(AND(ISNUMBER(Y106),ISNUMBER($C$106)),Y106/$C$106,"SLO 不可達")</f>
        <v>0.712677275627856</v>
      </c>
      <c r="Z131" s="102" t="n">
        <f aca="false">IF(AND(ISNUMBER(Z106),ISNUMBER($D$106)),Z106/$D$106,"SLO 不可達")</f>
        <v>0.930845824530689</v>
      </c>
      <c r="AA131" s="102" t="n">
        <f aca="false">IF(AND(ISNUMBER(AA106),ISNUMBER($C$106)),AA106/$C$106,"SLO 不可達")</f>
        <v>1.57464544874429</v>
      </c>
      <c r="AB131" s="102" t="n">
        <f aca="false">IF(AND(ISNUMBER(AB106),ISNUMBER($D$106)),AB106/$D$106,"SLO 不可達")</f>
        <v>1.13830835093862</v>
      </c>
      <c r="AC131" s="102" t="n">
        <f aca="false">IF(AND(ISNUMBER(AC106),ISNUMBER($C$106)),AC106/$C$106,"SLO 不可達")</f>
        <v>1</v>
      </c>
      <c r="AD131" s="102" t="n">
        <f aca="false">IF(AND(ISNUMBER(AD106),ISNUMBER($D$106)),AD106/$D$106,"SLO 不可達")</f>
        <v>1</v>
      </c>
      <c r="AE131" s="102" t="n">
        <f aca="false">IF(AND(ISNUMBER(AE106),ISNUMBER($C$106)),AE106/$C$106,"SLO 不可達")</f>
        <v>1</v>
      </c>
      <c r="AF131" s="102" t="n">
        <f aca="false">IF(AND(ISNUMBER(AF106),ISNUMBER($D$106)),AF106/$D$106,"SLO 不可達")</f>
        <v>1</v>
      </c>
      <c r="AG131" s="102" t="n">
        <f aca="false">IF(AND(ISNUMBER(AG106),ISNUMBER($C$106)),AG106/$C$106,"SLO 不可達")</f>
        <v>1.07610509213063</v>
      </c>
      <c r="AH131" s="102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58" t="s">
        <v>1122</v>
      </c>
      <c r="B132" s="59" t="s">
        <v>97</v>
      </c>
      <c r="C132" s="102" t="n">
        <f aca="false">IF(AND(ISNUMBER(C120),ISNUMBER($C$120)),C120/$C$120,"SLO 不可達")</f>
        <v>1</v>
      </c>
      <c r="D132" s="102" t="n">
        <f aca="false">IF(AND(ISNUMBER(D120),ISNUMBER($D$120)),D120/$D$120,"SLO 不可達")</f>
        <v>1</v>
      </c>
      <c r="E132" s="102" t="n">
        <f aca="false">IF(AND(ISNUMBER(E120),ISNUMBER($C$120)),E120/$C$120,"SLO 不可達")</f>
        <v>1.40589382469667</v>
      </c>
      <c r="F132" s="102" t="n">
        <f aca="false">IF(AND(ISNUMBER(F120),ISNUMBER($D$120)),F120/$D$120,"SLO 不可達")</f>
        <v>1.44148724508606</v>
      </c>
      <c r="G132" s="102" t="n">
        <f aca="false">IF(AND(ISNUMBER(G120),ISNUMBER($C$120)),G120/$C$120,"SLO 不可達")</f>
        <v>0.771684723608125</v>
      </c>
      <c r="H132" s="102" t="n">
        <f aca="false">IF(AND(ISNUMBER(H120),ISNUMBER($D$120)),H120/$D$120,"SLO 不可達")</f>
        <v>0.75166342463909</v>
      </c>
      <c r="I132" s="102" t="n">
        <f aca="false">IF(AND(ISNUMBER(I120),ISNUMBER($C$120)),I120/$C$120,"SLO 不可達")</f>
        <v>0.6955796314775</v>
      </c>
      <c r="J132" s="102" t="n">
        <f aca="false">IF(AND(ISNUMBER(J120),ISNUMBER($D$120)),J120/$D$120,"SLO 不可達")</f>
        <v>0.668884566185454</v>
      </c>
      <c r="K132" s="102" t="n">
        <f aca="false">IF(AND(ISNUMBER(K120),ISNUMBER($C$120)),K120/$C$120,"SLO 不可達")</f>
        <v>0.752684401283137</v>
      </c>
      <c r="L132" s="102" t="n">
        <f aca="false">IF(AND(ISNUMBER(L120),ISNUMBER($D$120)),L120/$D$120,"SLO 不可達")</f>
        <v>0.790230480767524</v>
      </c>
      <c r="M132" s="102" t="n">
        <f aca="false">IF(AND(ISNUMBER(M120),ISNUMBER($C$120)),M120/$C$120,"SLO 不可達")</f>
        <v>1.3314029022806</v>
      </c>
      <c r="N132" s="102" t="n">
        <f aca="false">IF(AND(ISNUMBER(N120),ISNUMBER($D$120)),N120/$D$120,"SLO 不可達")</f>
        <v>1.28109115577152</v>
      </c>
      <c r="O132" s="102" t="n">
        <f aca="false">IF(AND(ISNUMBER(O120),ISNUMBER($C$120)),O120/$C$120,"SLO 不可達")</f>
        <v>0.871406603118888</v>
      </c>
      <c r="P132" s="102" t="n">
        <f aca="false">IF(AND(ISNUMBER(P120),ISNUMBER($D$120)),P120/$D$120,"SLO 不可達")</f>
        <v>0.668975248721542</v>
      </c>
      <c r="Q132" s="102" t="n">
        <f aca="false">IF(AND(ISNUMBER(Q120),ISNUMBER($C$120)),Q120/$C$120,"SLO 不可達")</f>
        <v>1.36740970537461</v>
      </c>
      <c r="R132" s="102" t="n">
        <f aca="false">IF(AND(ISNUMBER(R120),ISNUMBER($D$120)),R120/$D$120,"SLO 不可達")</f>
        <v>1.94578500365274</v>
      </c>
      <c r="S132" s="102" t="n">
        <f aca="false">IF(AND(ISNUMBER(S120),ISNUMBER($C$120)),S120/$C$120,"SLO 不可達")</f>
        <v>1.04235111683232</v>
      </c>
      <c r="T132" s="102" t="n">
        <f aca="false">IF(AND(ISNUMBER(T120),ISNUMBER($D$120)),T120/$D$120,"SLO 不可達")</f>
        <v>1.11085888684363</v>
      </c>
      <c r="U132" s="102" t="n">
        <f aca="false">IF(AND(ISNUMBER(U120),ISNUMBER($C$120)),U120/$C$120,"SLO 不可達")</f>
        <v>0.989300770484468</v>
      </c>
      <c r="V132" s="102" t="n">
        <f aca="false">IF(AND(ISNUMBER(V120),ISNUMBER($D$120)),V120/$D$120,"SLO 不可達")</f>
        <v>0.971993544376347</v>
      </c>
      <c r="W132" s="102" t="n">
        <f aca="false">IF(AND(ISNUMBER(W120),ISNUMBER($C$120)),W120/$C$120,"SLO 不可達")</f>
        <v>1.05308002797907</v>
      </c>
      <c r="X132" s="102" t="n">
        <f aca="false">IF(AND(ISNUMBER(X120),ISNUMBER($D$120)),X120/$D$120,"SLO 不可達")</f>
        <v>1.13997073291964</v>
      </c>
      <c r="Y132" s="102" t="n">
        <f aca="false">IF(AND(ISNUMBER(Y120),ISNUMBER($C$120)),Y120/$C$120,"SLO 不可達")</f>
        <v>0.712677275627856</v>
      </c>
      <c r="Z132" s="102" t="n">
        <f aca="false">IF(AND(ISNUMBER(Z120),ISNUMBER($D$120)),Z120/$D$120,"SLO 不可達")</f>
        <v>0.930845824530689</v>
      </c>
      <c r="AA132" s="102" t="n">
        <f aca="false">IF(AND(ISNUMBER(AA120),ISNUMBER($C$120)),AA120/$C$120,"SLO 不可達")</f>
        <v>1.57464544874429</v>
      </c>
      <c r="AB132" s="102" t="n">
        <f aca="false">IF(AND(ISNUMBER(AB120),ISNUMBER($D$120)),AB120/$D$120,"SLO 不可達")</f>
        <v>1.13830835093862</v>
      </c>
      <c r="AC132" s="102" t="n">
        <f aca="false">IF(AND(ISNUMBER(AC120),ISNUMBER($C$120)),AC120/$C$120,"SLO 不可達")</f>
        <v>0.55</v>
      </c>
      <c r="AD132" s="102" t="n">
        <f aca="false">IF(AND(ISNUMBER(AD120),ISNUMBER($D$120)),AD120/$D$120,"SLO 不可達")</f>
        <v>0.55</v>
      </c>
      <c r="AE132" s="102" t="n">
        <f aca="false">IF(AND(ISNUMBER(AE120),ISNUMBER($C$120)),AE120/$C$120,"SLO 不可達")</f>
        <v>1.3</v>
      </c>
      <c r="AF132" s="102" t="n">
        <f aca="false">IF(AND(ISNUMBER(AF120),ISNUMBER($D$120)),AF120/$D$120,"SLO 不可達")</f>
        <v>1.3</v>
      </c>
      <c r="AG132" s="102" t="n">
        <f aca="false">IF(AND(ISNUMBER(AG120),ISNUMBER($C$120)),AG120/$C$120,"SLO 不可達")</f>
        <v>1.07610509213063</v>
      </c>
      <c r="AH132" s="102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58" t="s">
        <v>1123</v>
      </c>
      <c r="B133" s="59" t="s">
        <v>97</v>
      </c>
      <c r="C133" s="102" t="n">
        <f aca="false">IF(AND(ISNUMBER(C111),ISNUMBER($C$111)),C111/$C$111,"SLO 不可達")</f>
        <v>1</v>
      </c>
      <c r="D133" s="102" t="n">
        <f aca="false">IF(AND(ISNUMBER(D111),ISNUMBER($D$111)),D111/$D$111,"SLO 不可達")</f>
        <v>1</v>
      </c>
      <c r="E133" s="102" t="n">
        <f aca="false">IF(AND(ISNUMBER(E111),ISNUMBER($C$111)),E111/$C$111,"SLO 不可達")</f>
        <v>0.844992234997107</v>
      </c>
      <c r="F133" s="102" t="n">
        <f aca="false">IF(AND(ISNUMBER(F111),ISNUMBER($D$111)),F111/$D$111,"SLO 不可達")</f>
        <v>0.880928820082332</v>
      </c>
      <c r="G133" s="102" t="n">
        <f aca="false">IF(AND(ISNUMBER(G111),ISNUMBER($C$111)),G111/$C$111,"SLO 不可達")</f>
        <v>1.20175683436846</v>
      </c>
      <c r="H133" s="102" t="n">
        <f aca="false">IF(AND(ISNUMBER(H111),ISNUMBER($D$111)),H111/$D$111,"SLO 不可達")</f>
        <v>1.13490229974867</v>
      </c>
      <c r="I133" s="102" t="n">
        <f aca="false">IF(AND(ISNUMBER(I111),ISNUMBER($C$111)),I111/$C$111,"SLO 不可達")</f>
        <v>1.31936419636689</v>
      </c>
      <c r="J133" s="102" t="n">
        <f aca="false">IF(AND(ISNUMBER(J111),ISNUMBER($D$111)),J111/$D$111,"SLO 不可達")</f>
        <v>1.20479236746961</v>
      </c>
      <c r="K133" s="102" t="n">
        <f aca="false">IF(AND(ISNUMBER(K111),ISNUMBER($C$111)),K111/$C$111,"SLO 不可達")</f>
        <v>1.53337940528535</v>
      </c>
      <c r="L133" s="102" t="n">
        <f aca="false">IF(AND(ISNUMBER(L111),ISNUMBER($D$111)),L111/$D$111,"SLO 不可達")</f>
        <v>1.29184464975971</v>
      </c>
      <c r="M133" s="102" t="n">
        <f aca="false">IF(AND(ISNUMBER(M111),ISNUMBER($C$111)),M111/$C$111,"SLO 不可達")</f>
        <v>0.682075565761541</v>
      </c>
      <c r="N133" s="102" t="n">
        <f aca="false">IF(AND(ISNUMBER(N111),ISNUMBER($D$111)),N111/$D$111,"SLO 不可達")</f>
        <v>0.767622555709777</v>
      </c>
      <c r="O133" s="102" t="n">
        <f aca="false">IF(AND(ISNUMBER(O111),ISNUMBER($C$111)),O111/$C$111,"SLO 不可達")</f>
        <v>0.438684865576152</v>
      </c>
      <c r="P133" s="102" t="n">
        <f aca="false">IF(AND(ISNUMBER(P111),ISNUMBER($D$111)),P111/$D$111,"SLO 不可達")</f>
        <v>0.490960906566837</v>
      </c>
      <c r="Q133" s="102" t="n">
        <f aca="false">IF(AND(ISNUMBER(Q111),ISNUMBER($C$111)),Q111/$C$111,"SLO 不可達")</f>
        <v>1.86612099544456</v>
      </c>
      <c r="R133" s="102" t="n">
        <f aca="false">IF(AND(ISNUMBER(R111),ISNUMBER($D$111)),R111/$D$111,"SLO 不可達")</f>
        <v>1.46364707688238</v>
      </c>
      <c r="S133" s="102" t="n">
        <f aca="false">IF(AND(ISNUMBER(S111),ISNUMBER($C$111)),S111/$C$111,"SLO 不可達")</f>
        <v>1.14291588411783</v>
      </c>
      <c r="T133" s="102" t="n">
        <f aca="false">IF(AND(ISNUMBER(T111),ISNUMBER($D$111)),T111/$D$111,"SLO 不可達")</f>
        <v>1.09800046576256</v>
      </c>
      <c r="U133" s="102" t="n">
        <f aca="false">IF(AND(ISNUMBER(U111),ISNUMBER($C$111)),U111/$C$111,"SLO 不可達")</f>
        <v>0.961159813585404</v>
      </c>
      <c r="V133" s="102" t="n">
        <f aca="false">IF(AND(ISNUMBER(V111),ISNUMBER($D$111)),V111/$D$111,"SLO 不可達")</f>
        <v>0.97142422058954</v>
      </c>
      <c r="W133" s="102" t="n">
        <f aca="false">IF(AND(ISNUMBER(W111),ISNUMBER($C$111)),W111/$C$111,"SLO 不可達")</f>
        <v>1.17392664831301</v>
      </c>
      <c r="X133" s="102" t="n">
        <f aca="false">IF(AND(ISNUMBER(X111),ISNUMBER($D$111)),X111/$D$111,"SLO 不可達")</f>
        <v>1.11946589729714</v>
      </c>
      <c r="Y133" s="102" t="n">
        <f aca="false">IF(AND(ISNUMBER(Y111),ISNUMBER($C$111)),Y111/$C$111,"SLO 不可達")</f>
        <v>1</v>
      </c>
      <c r="Z133" s="102" t="n">
        <f aca="false">IF(AND(ISNUMBER(Z111),ISNUMBER($D$111)),Z111/$D$111,"SLO 不可達")</f>
        <v>1</v>
      </c>
      <c r="AA133" s="102" t="n">
        <f aca="false">IF(AND(ISNUMBER(AA111),ISNUMBER($C$111)),AA111/$C$111,"SLO 不可達")</f>
        <v>1</v>
      </c>
      <c r="AB133" s="102" t="n">
        <f aca="false">IF(AND(ISNUMBER(AB111),ISNUMBER($D$111)),AB111/$D$111,"SLO 不可達")</f>
        <v>1</v>
      </c>
      <c r="AC133" s="102" t="n">
        <f aca="false">IF(AND(ISNUMBER(AC111),ISNUMBER($C$111)),AC111/$C$111,"SLO 不可達")</f>
        <v>1</v>
      </c>
      <c r="AD133" s="102" t="n">
        <f aca="false">IF(AND(ISNUMBER(AD111),ISNUMBER($D$111)),AD111/$D$111,"SLO 不可達")</f>
        <v>1</v>
      </c>
      <c r="AE133" s="102" t="n">
        <f aca="false">IF(AND(ISNUMBER(AE111),ISNUMBER($C$111)),AE111/$C$111,"SLO 不可達")</f>
        <v>1</v>
      </c>
      <c r="AF133" s="102" t="n">
        <f aca="false">IF(AND(ISNUMBER(AF111),ISNUMBER($D$111)),AF111/$D$111,"SLO 不可達")</f>
        <v>1</v>
      </c>
      <c r="AG133" s="102" t="n">
        <f aca="false">IF(AND(ISNUMBER(AG111),ISNUMBER($C$111)),AG111/$C$111,"SLO 不可達")</f>
        <v>0.958758433781733</v>
      </c>
      <c r="AH133" s="102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1124</v>
      </c>
    </row>
    <row r="2" customFormat="false" ht="15" hidden="false" customHeight="false" outlineLevel="0" collapsed="false">
      <c r="A2" s="56" t="s">
        <v>1125</v>
      </c>
    </row>
    <row r="4" customFormat="false" ht="15" hidden="false" customHeight="false" outlineLevel="0" collapsed="false">
      <c r="A4" s="73" t="s">
        <v>1126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7" t="s">
        <v>357</v>
      </c>
      <c r="B5" s="57" t="s">
        <v>77</v>
      </c>
      <c r="C5" s="57" t="s">
        <v>1127</v>
      </c>
      <c r="D5" s="10" t="s">
        <v>1128</v>
      </c>
      <c r="E5" s="10" t="s">
        <v>1129</v>
      </c>
      <c r="F5" s="57" t="s">
        <v>81</v>
      </c>
      <c r="G5" s="57" t="s">
        <v>325</v>
      </c>
    </row>
    <row r="6" customFormat="false" ht="15" hidden="false" customHeight="false" outlineLevel="0" collapsed="false">
      <c r="A6" s="58" t="s">
        <v>1130</v>
      </c>
      <c r="B6" s="59" t="s">
        <v>795</v>
      </c>
      <c r="C6" s="92" t="n">
        <f aca="false">SRC_PRC_003</f>
        <v>0.1</v>
      </c>
      <c r="D6" s="92" t="n">
        <f aca="false">SRC_PRC_006</f>
        <v>2</v>
      </c>
      <c r="E6" s="92" t="n">
        <f aca="false">SRC_PRC_009</f>
        <v>10</v>
      </c>
      <c r="F6" s="56" t="s">
        <v>129</v>
      </c>
      <c r="G6" s="85" t="s">
        <v>1131</v>
      </c>
    </row>
    <row r="7" customFormat="false" ht="15" hidden="false" customHeight="false" outlineLevel="0" collapsed="false">
      <c r="A7" s="58" t="s">
        <v>1132</v>
      </c>
      <c r="B7" s="59" t="s">
        <v>795</v>
      </c>
      <c r="C7" s="92" t="n">
        <f aca="false">SRC_PRC_004</f>
        <v>0.01</v>
      </c>
      <c r="D7" s="92" t="n">
        <f aca="false">SRC_PRC_007</f>
        <v>0.2</v>
      </c>
      <c r="E7" s="92" t="n">
        <f aca="false">SRC_PRC_010</f>
        <v>1</v>
      </c>
      <c r="F7" s="56" t="s">
        <v>129</v>
      </c>
      <c r="G7" s="91" t="s">
        <v>1133</v>
      </c>
    </row>
    <row r="8" customFormat="false" ht="15" hidden="false" customHeight="false" outlineLevel="0" collapsed="false">
      <c r="A8" s="58" t="s">
        <v>1134</v>
      </c>
      <c r="B8" s="59" t="s">
        <v>795</v>
      </c>
      <c r="C8" s="92" t="n">
        <f aca="false">SRC_PRC_005</f>
        <v>0.5</v>
      </c>
      <c r="D8" s="92" t="n">
        <f aca="false">SRC_PRC_008</f>
        <v>10</v>
      </c>
      <c r="E8" s="92" t="n">
        <f aca="false">SRC_PRC_011</f>
        <v>50</v>
      </c>
      <c r="F8" s="56" t="s">
        <v>129</v>
      </c>
      <c r="G8" s="91" t="s">
        <v>1135</v>
      </c>
    </row>
    <row r="10" customFormat="false" ht="15" hidden="false" customHeight="false" outlineLevel="0" collapsed="false">
      <c r="A10" s="73" t="s">
        <v>1136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57" t="s">
        <v>357</v>
      </c>
      <c r="B11" s="57" t="s">
        <v>77</v>
      </c>
      <c r="C11" s="57" t="s">
        <v>79</v>
      </c>
      <c r="D11" s="57" t="s">
        <v>1137</v>
      </c>
      <c r="E11" s="57" t="s">
        <v>1138</v>
      </c>
      <c r="F11" s="57" t="s">
        <v>81</v>
      </c>
      <c r="G11" s="57" t="s">
        <v>325</v>
      </c>
    </row>
    <row r="12" customFormat="false" ht="15" hidden="false" customHeight="false" outlineLevel="0" collapsed="false">
      <c r="A12" s="5" t="s">
        <v>1139</v>
      </c>
      <c r="B12" s="59" t="s">
        <v>93</v>
      </c>
      <c r="C12" s="63" t="n">
        <v>0.2</v>
      </c>
      <c r="D12" s="63" t="n">
        <v>0.1</v>
      </c>
      <c r="E12" s="63" t="n">
        <v>0.4</v>
      </c>
      <c r="F12" s="56" t="s">
        <v>94</v>
      </c>
      <c r="G12" s="91" t="s">
        <v>1140</v>
      </c>
    </row>
    <row r="13" customFormat="false" ht="15" hidden="false" customHeight="false" outlineLevel="0" collapsed="false">
      <c r="A13" s="5" t="s">
        <v>1141</v>
      </c>
      <c r="B13" s="59" t="s">
        <v>93</v>
      </c>
      <c r="C13" s="63" t="n">
        <v>0.55</v>
      </c>
      <c r="D13" s="63" t="n">
        <v>0.3</v>
      </c>
      <c r="E13" s="63" t="n">
        <v>0.75</v>
      </c>
      <c r="F13" s="56" t="s">
        <v>94</v>
      </c>
      <c r="G13" s="91" t="s">
        <v>1142</v>
      </c>
    </row>
    <row r="14" customFormat="false" ht="26.85" hidden="false" customHeight="false" outlineLevel="0" collapsed="false">
      <c r="A14" s="5" t="s">
        <v>1143</v>
      </c>
      <c r="B14" s="59" t="s">
        <v>97</v>
      </c>
      <c r="C14" s="76" t="n">
        <v>0</v>
      </c>
      <c r="D14" s="76" t="n">
        <v>0</v>
      </c>
      <c r="E14" s="76" t="n">
        <v>0.5</v>
      </c>
      <c r="F14" s="56" t="s">
        <v>94</v>
      </c>
      <c r="G14" s="85" t="s">
        <v>1144</v>
      </c>
    </row>
    <row r="15" customFormat="false" ht="15" hidden="false" customHeight="false" outlineLevel="0" collapsed="false">
      <c r="A15" s="5" t="s">
        <v>1145</v>
      </c>
      <c r="B15" s="59" t="s">
        <v>97</v>
      </c>
      <c r="C15" s="76" t="n">
        <v>1</v>
      </c>
      <c r="D15" s="76" t="n">
        <v>0.5</v>
      </c>
      <c r="E15" s="76" t="n">
        <v>7</v>
      </c>
      <c r="F15" s="56" t="s">
        <v>94</v>
      </c>
      <c r="G15" s="91" t="s">
        <v>1146</v>
      </c>
    </row>
    <row r="16" customFormat="false" ht="15" hidden="false" customHeight="false" outlineLevel="0" collapsed="false">
      <c r="A16" s="5" t="s">
        <v>1147</v>
      </c>
      <c r="B16" s="58" t="s">
        <v>89</v>
      </c>
      <c r="C16" s="64" t="n">
        <v>2</v>
      </c>
      <c r="D16" s="64" t="n">
        <v>1</v>
      </c>
      <c r="E16" s="64" t="n">
        <v>2</v>
      </c>
      <c r="F16" s="56" t="s">
        <v>86</v>
      </c>
      <c r="G16" s="85" t="s">
        <v>1148</v>
      </c>
    </row>
    <row r="17" customFormat="false" ht="15" hidden="false" customHeight="false" outlineLevel="0" collapsed="false">
      <c r="A17" s="5" t="s">
        <v>1149</v>
      </c>
      <c r="B17" s="59" t="s">
        <v>1150</v>
      </c>
      <c r="C17" s="87" t="n">
        <f aca="false">SRC_PRC_028</f>
        <v>35</v>
      </c>
      <c r="F17" s="56" t="s">
        <v>129</v>
      </c>
      <c r="G17" s="85" t="s">
        <v>1151</v>
      </c>
    </row>
    <row r="18" customFormat="false" ht="15" hidden="false" customHeight="false" outlineLevel="0" collapsed="false">
      <c r="A18" s="5" t="s">
        <v>1152</v>
      </c>
      <c r="B18" s="59" t="s">
        <v>97</v>
      </c>
      <c r="C18" s="95" t="n">
        <f aca="false">SRC_PRC_027</f>
        <v>0.5</v>
      </c>
      <c r="F18" s="56" t="s">
        <v>129</v>
      </c>
      <c r="G18" s="85" t="s">
        <v>1153</v>
      </c>
    </row>
    <row r="20" customFormat="false" ht="15" hidden="false" customHeight="false" outlineLevel="0" collapsed="false">
      <c r="A20" s="73" t="s">
        <v>1154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57" t="s">
        <v>357</v>
      </c>
      <c r="B21" s="57" t="s">
        <v>77</v>
      </c>
      <c r="C21" s="57" t="s">
        <v>1127</v>
      </c>
      <c r="D21" s="10" t="s">
        <v>1128</v>
      </c>
      <c r="E21" s="10" t="s">
        <v>1129</v>
      </c>
      <c r="F21" s="57" t="s">
        <v>81</v>
      </c>
      <c r="G21" s="57" t="s">
        <v>325</v>
      </c>
    </row>
    <row r="22" customFormat="false" ht="15" hidden="false" customHeight="false" outlineLevel="0" collapsed="false">
      <c r="A22" s="58" t="s">
        <v>1155</v>
      </c>
      <c r="B22" s="58" t="s">
        <v>1156</v>
      </c>
      <c r="C22" s="64" t="n">
        <v>12</v>
      </c>
      <c r="D22" s="64" t="n">
        <v>12</v>
      </c>
      <c r="E22" s="64" t="n">
        <v>9</v>
      </c>
      <c r="F22" s="56" t="s">
        <v>94</v>
      </c>
      <c r="G22" s="71" t="s">
        <v>1157</v>
      </c>
    </row>
    <row r="23" customFormat="false" ht="15" hidden="false" customHeight="false" outlineLevel="0" collapsed="false">
      <c r="A23" s="58" t="s">
        <v>1158</v>
      </c>
      <c r="B23" s="58" t="s">
        <v>1156</v>
      </c>
      <c r="C23" s="64" t="n">
        <v>6</v>
      </c>
      <c r="D23" s="64" t="n">
        <v>6</v>
      </c>
      <c r="E23" s="64" t="n">
        <v>6</v>
      </c>
      <c r="F23" s="56" t="s">
        <v>94</v>
      </c>
      <c r="G23" s="71"/>
    </row>
    <row r="24" customFormat="false" ht="15" hidden="false" customHeight="false" outlineLevel="0" collapsed="false">
      <c r="A24" s="58" t="s">
        <v>1159</v>
      </c>
      <c r="B24" s="58" t="s">
        <v>1156</v>
      </c>
      <c r="C24" s="64" t="n">
        <v>24</v>
      </c>
      <c r="D24" s="64" t="n">
        <v>24</v>
      </c>
      <c r="E24" s="64" t="n">
        <v>18</v>
      </c>
      <c r="F24" s="56" t="s">
        <v>94</v>
      </c>
      <c r="G24" s="71"/>
    </row>
    <row r="26" customFormat="false" ht="15" hidden="false" customHeight="false" outlineLevel="0" collapsed="false">
      <c r="A26" s="73" t="s">
        <v>1160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57" t="s">
        <v>357</v>
      </c>
      <c r="B27" s="57" t="s">
        <v>77</v>
      </c>
      <c r="C27" s="57" t="s">
        <v>79</v>
      </c>
      <c r="D27" s="57" t="s">
        <v>1137</v>
      </c>
      <c r="E27" s="57" t="s">
        <v>1138</v>
      </c>
      <c r="F27" s="57" t="s">
        <v>81</v>
      </c>
      <c r="G27" s="57" t="s">
        <v>325</v>
      </c>
    </row>
    <row r="28" customFormat="false" ht="26.85" hidden="false" customHeight="false" outlineLevel="0" collapsed="false">
      <c r="A28" s="58" t="s">
        <v>1161</v>
      </c>
      <c r="B28" s="59" t="s">
        <v>93</v>
      </c>
      <c r="C28" s="63" t="n">
        <v>0.41</v>
      </c>
      <c r="D28" s="63" t="n">
        <v>0.3</v>
      </c>
      <c r="E28" s="63" t="n">
        <v>0.6</v>
      </c>
      <c r="F28" s="56" t="s">
        <v>1162</v>
      </c>
      <c r="G28" s="85" t="s">
        <v>1163</v>
      </c>
    </row>
    <row r="29" customFormat="false" ht="15" hidden="false" customHeight="false" outlineLevel="0" collapsed="false">
      <c r="A29" s="58" t="s">
        <v>1164</v>
      </c>
      <c r="B29" s="59" t="s">
        <v>93</v>
      </c>
      <c r="C29" s="63" t="n">
        <v>0.46</v>
      </c>
      <c r="D29" s="63" t="n">
        <v>0.35</v>
      </c>
      <c r="E29" s="63" t="n">
        <v>0.6</v>
      </c>
      <c r="F29" s="56" t="s">
        <v>206</v>
      </c>
      <c r="G29" s="85" t="s">
        <v>1165</v>
      </c>
    </row>
    <row r="30" customFormat="false" ht="15" hidden="false" customHeight="false" outlineLevel="0" collapsed="false">
      <c r="A30" s="57" t="s">
        <v>357</v>
      </c>
      <c r="B30" s="57" t="s">
        <v>77</v>
      </c>
      <c r="C30" s="57" t="s">
        <v>1127</v>
      </c>
      <c r="D30" s="10" t="s">
        <v>1128</v>
      </c>
      <c r="E30" s="10" t="s">
        <v>1129</v>
      </c>
      <c r="F30" s="57" t="s">
        <v>81</v>
      </c>
      <c r="G30" s="57" t="s">
        <v>325</v>
      </c>
    </row>
    <row r="31" customFormat="false" ht="15" hidden="false" customHeight="false" outlineLevel="0" collapsed="false">
      <c r="A31" s="58" t="s">
        <v>1166</v>
      </c>
      <c r="B31" s="59" t="s">
        <v>93</v>
      </c>
      <c r="C31" s="63" t="n">
        <v>0.4</v>
      </c>
      <c r="D31" s="63" t="n">
        <v>0.45</v>
      </c>
      <c r="E31" s="63" t="n">
        <v>0.15</v>
      </c>
      <c r="F31" s="56" t="s">
        <v>94</v>
      </c>
      <c r="G31" s="85" t="s">
        <v>1167</v>
      </c>
    </row>
    <row r="32" customFormat="false" ht="15" hidden="false" customHeight="false" outlineLevel="0" collapsed="false">
      <c r="A32" s="58" t="s">
        <v>1168</v>
      </c>
      <c r="B32" s="59" t="s">
        <v>93</v>
      </c>
      <c r="C32" s="63" t="n">
        <v>0.9</v>
      </c>
      <c r="D32" s="63" t="n">
        <v>0.1</v>
      </c>
      <c r="E32" s="63" t="n">
        <v>0</v>
      </c>
      <c r="F32" s="56" t="s">
        <v>94</v>
      </c>
      <c r="G32" s="85" t="s">
        <v>1169</v>
      </c>
    </row>
    <row r="34" customFormat="false" ht="15" hidden="false" customHeight="false" outlineLevel="0" collapsed="false">
      <c r="A34" s="73" t="s">
        <v>1170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57" t="s">
        <v>357</v>
      </c>
      <c r="B35" s="57" t="s">
        <v>77</v>
      </c>
      <c r="C35" s="57" t="s">
        <v>79</v>
      </c>
      <c r="D35" s="57" t="s">
        <v>1137</v>
      </c>
      <c r="E35" s="57" t="s">
        <v>1138</v>
      </c>
      <c r="F35" s="57" t="s">
        <v>81</v>
      </c>
      <c r="G35" s="57" t="s">
        <v>325</v>
      </c>
    </row>
    <row r="36" customFormat="false" ht="15" hidden="false" customHeight="false" outlineLevel="0" collapsed="false">
      <c r="A36" s="5" t="s">
        <v>1171</v>
      </c>
      <c r="B36" s="58" t="s">
        <v>89</v>
      </c>
      <c r="C36" s="64" t="n">
        <v>2</v>
      </c>
      <c r="D36" s="64" t="n">
        <v>1</v>
      </c>
      <c r="E36" s="64" t="n">
        <v>3</v>
      </c>
      <c r="F36" s="56" t="s">
        <v>94</v>
      </c>
      <c r="G36" s="91" t="s">
        <v>1172</v>
      </c>
    </row>
    <row r="37" customFormat="false" ht="15" hidden="false" customHeight="false" outlineLevel="0" collapsed="false">
      <c r="A37" s="5" t="s">
        <v>1173</v>
      </c>
      <c r="B37" s="59" t="s">
        <v>1150</v>
      </c>
      <c r="C37" s="146" t="n">
        <v>0.0833333333333333</v>
      </c>
      <c r="D37" s="146" t="n">
        <v>0.0833333333333333</v>
      </c>
      <c r="E37" s="146" t="n">
        <v>1</v>
      </c>
      <c r="F37" s="56" t="s">
        <v>98</v>
      </c>
      <c r="G37" s="85" t="s">
        <v>1174</v>
      </c>
    </row>
    <row r="38" customFormat="false" ht="15" hidden="false" customHeight="false" outlineLevel="0" collapsed="false">
      <c r="A38" s="5" t="s">
        <v>1175</v>
      </c>
      <c r="B38" s="58" t="s">
        <v>1176</v>
      </c>
      <c r="C38" s="64" t="n">
        <v>5</v>
      </c>
      <c r="D38" s="64" t="n">
        <v>1</v>
      </c>
      <c r="E38" s="64" t="n">
        <v>20</v>
      </c>
      <c r="F38" s="56" t="s">
        <v>94</v>
      </c>
      <c r="G38" s="91" t="s">
        <v>1177</v>
      </c>
    </row>
    <row r="39" customFormat="false" ht="15" hidden="false" customHeight="false" outlineLevel="0" collapsed="false">
      <c r="A39" s="6" t="s">
        <v>1178</v>
      </c>
      <c r="B39" s="59" t="s">
        <v>1179</v>
      </c>
      <c r="C39" s="76" t="n">
        <v>10</v>
      </c>
      <c r="D39" s="76" t="n">
        <v>5</v>
      </c>
      <c r="E39" s="76" t="n">
        <v>20</v>
      </c>
      <c r="F39" s="56" t="s">
        <v>94</v>
      </c>
      <c r="G39" s="85" t="s">
        <v>1180</v>
      </c>
    </row>
    <row r="40" customFormat="false" ht="15" hidden="false" customHeight="false" outlineLevel="0" collapsed="false">
      <c r="A40" s="6" t="s">
        <v>1181</v>
      </c>
      <c r="B40" s="58" t="s">
        <v>128</v>
      </c>
      <c r="C40" s="64" t="n">
        <v>4</v>
      </c>
      <c r="D40" s="64" t="n">
        <v>3</v>
      </c>
      <c r="E40" s="64" t="n">
        <v>6</v>
      </c>
      <c r="F40" s="56" t="s">
        <v>94</v>
      </c>
      <c r="G40" s="91"/>
    </row>
    <row r="41" customFormat="false" ht="15" hidden="false" customHeight="false" outlineLevel="0" collapsed="false">
      <c r="A41" s="6" t="s">
        <v>1182</v>
      </c>
      <c r="B41" s="59" t="s">
        <v>1179</v>
      </c>
      <c r="C41" s="76" t="n">
        <v>0.1</v>
      </c>
      <c r="D41" s="76" t="n">
        <v>0.05</v>
      </c>
      <c r="E41" s="76" t="n">
        <v>0.3</v>
      </c>
      <c r="F41" s="56" t="s">
        <v>94</v>
      </c>
      <c r="G41" s="91" t="s">
        <v>1183</v>
      </c>
    </row>
    <row r="42" customFormat="false" ht="15" hidden="false" customHeight="false" outlineLevel="0" collapsed="false">
      <c r="A42" s="6" t="s">
        <v>1184</v>
      </c>
      <c r="B42" s="58" t="s">
        <v>128</v>
      </c>
      <c r="C42" s="64" t="n">
        <v>5</v>
      </c>
      <c r="D42" s="64" t="n">
        <v>3</v>
      </c>
      <c r="E42" s="64" t="n">
        <v>6</v>
      </c>
      <c r="F42" s="56" t="s">
        <v>94</v>
      </c>
      <c r="G42" s="91"/>
    </row>
    <row r="44" customFormat="false" ht="15" hidden="false" customHeight="false" outlineLevel="0" collapsed="false">
      <c r="A44" s="73" t="s">
        <v>1185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1186</v>
      </c>
      <c r="B45" s="81" t="s">
        <v>1187</v>
      </c>
      <c r="C45" s="81" t="s">
        <v>1188</v>
      </c>
      <c r="D45" s="81" t="s">
        <v>1189</v>
      </c>
      <c r="E45" s="81" t="s">
        <v>1190</v>
      </c>
      <c r="F45" s="81" t="s">
        <v>1191</v>
      </c>
      <c r="G45" s="81" t="s">
        <v>1192</v>
      </c>
      <c r="H45" s="81" t="s">
        <v>1193</v>
      </c>
      <c r="I45" s="81" t="s">
        <v>1194</v>
      </c>
      <c r="J45" s="81" t="s">
        <v>1195</v>
      </c>
      <c r="K45" s="81" t="s">
        <v>1196</v>
      </c>
      <c r="L45" s="81" t="s">
        <v>81</v>
      </c>
      <c r="M45" s="81" t="s">
        <v>451</v>
      </c>
      <c r="N45" s="81" t="s">
        <v>1197</v>
      </c>
    </row>
    <row r="46" customFormat="false" ht="15" hidden="false" customHeight="false" outlineLevel="0" collapsed="false">
      <c r="A46" s="134" t="s">
        <v>1198</v>
      </c>
      <c r="B46" s="134" t="s">
        <v>1199</v>
      </c>
      <c r="C46" s="103" t="s">
        <v>1200</v>
      </c>
      <c r="D46" s="103" t="s">
        <v>639</v>
      </c>
      <c r="E46" s="92" t="n">
        <f aca="false">SRC_PRC_003</f>
        <v>0.1</v>
      </c>
      <c r="F46" s="92" t="n">
        <f aca="false">SRC_PRC_004</f>
        <v>0.01</v>
      </c>
      <c r="G46" s="92" t="n">
        <f aca="false">SRC_PRC_005</f>
        <v>0.5</v>
      </c>
      <c r="H46" s="64" t="n">
        <v>0</v>
      </c>
      <c r="I46" s="87" t="n">
        <f aca="false">SRC_CAP_009</f>
        <v>37</v>
      </c>
      <c r="J46" s="134" t="s">
        <v>1201</v>
      </c>
      <c r="K46" s="134" t="s">
        <v>1202</v>
      </c>
      <c r="L46" s="134" t="s">
        <v>129</v>
      </c>
      <c r="M46" s="85" t="s">
        <v>1203</v>
      </c>
      <c r="N46" s="109" t="n">
        <f aca="false">IF($C46="中國",1,0)</f>
        <v>0</v>
      </c>
    </row>
    <row r="47" customFormat="false" ht="15" hidden="false" customHeight="false" outlineLevel="0" collapsed="false">
      <c r="A47" s="134" t="s">
        <v>1204</v>
      </c>
      <c r="B47" s="134" t="s">
        <v>1199</v>
      </c>
      <c r="C47" s="103" t="s">
        <v>1200</v>
      </c>
      <c r="D47" s="103" t="s">
        <v>639</v>
      </c>
      <c r="E47" s="92" t="n">
        <f aca="false">SRC_PRC_006</f>
        <v>2</v>
      </c>
      <c r="F47" s="92" t="n">
        <f aca="false">SRC_PRC_007</f>
        <v>0.2</v>
      </c>
      <c r="G47" s="92" t="n">
        <f aca="false">SRC_PRC_008</f>
        <v>10</v>
      </c>
      <c r="H47" s="64" t="n">
        <v>0</v>
      </c>
      <c r="I47" s="87" t="n">
        <f aca="false">SRC_CAP_008</f>
        <v>48</v>
      </c>
      <c r="J47" s="134" t="s">
        <v>1201</v>
      </c>
      <c r="K47" s="134" t="s">
        <v>1202</v>
      </c>
      <c r="L47" s="134" t="s">
        <v>129</v>
      </c>
      <c r="M47" s="85" t="s">
        <v>1205</v>
      </c>
      <c r="N47" s="109" t="n">
        <f aca="false">IF($C47="中國",1,0)</f>
        <v>0</v>
      </c>
    </row>
    <row r="48" customFormat="false" ht="15" hidden="false" customHeight="false" outlineLevel="0" collapsed="false">
      <c r="A48" s="134" t="s">
        <v>1206</v>
      </c>
      <c r="B48" s="134" t="s">
        <v>1199</v>
      </c>
      <c r="C48" s="103" t="s">
        <v>1200</v>
      </c>
      <c r="D48" s="103" t="s">
        <v>639</v>
      </c>
      <c r="E48" s="92" t="n">
        <f aca="false">SRC_PRC_009</f>
        <v>10</v>
      </c>
      <c r="F48" s="92" t="n">
        <f aca="false">SRC_PRC_010</f>
        <v>1</v>
      </c>
      <c r="G48" s="92" t="n">
        <f aca="false">SRC_PRC_011</f>
        <v>50</v>
      </c>
      <c r="H48" s="64" t="n">
        <v>0</v>
      </c>
      <c r="I48" s="87" t="n">
        <f aca="false">SRC_CAP_001</f>
        <v>53</v>
      </c>
      <c r="J48" s="134" t="s">
        <v>1207</v>
      </c>
      <c r="K48" s="134" t="s">
        <v>1202</v>
      </c>
      <c r="L48" s="134" t="s">
        <v>129</v>
      </c>
      <c r="M48" s="85" t="s">
        <v>1208</v>
      </c>
      <c r="N48" s="109" t="n">
        <f aca="false">IF($C48="中國",1,0)</f>
        <v>0</v>
      </c>
    </row>
    <row r="49" customFormat="false" ht="15" hidden="false" customHeight="false" outlineLevel="0" collapsed="false">
      <c r="A49" s="134" t="s">
        <v>1209</v>
      </c>
      <c r="B49" s="134" t="s">
        <v>1210</v>
      </c>
      <c r="C49" s="103" t="s">
        <v>1200</v>
      </c>
      <c r="D49" s="103" t="s">
        <v>639</v>
      </c>
      <c r="E49" s="92" t="n">
        <f aca="false">SRC_PRC_012</f>
        <v>10</v>
      </c>
      <c r="F49" s="92" t="n">
        <f aca="false">SRC_PRC_013</f>
        <v>0.25</v>
      </c>
      <c r="G49" s="92" t="n">
        <f aca="false">SRC_PRC_014</f>
        <v>50</v>
      </c>
      <c r="H49" s="64" t="n">
        <v>0</v>
      </c>
      <c r="I49" s="87" t="n">
        <f aca="false">SRC_CAP_002</f>
        <v>53</v>
      </c>
      <c r="J49" s="134" t="s">
        <v>1207</v>
      </c>
      <c r="K49" s="134" t="s">
        <v>1211</v>
      </c>
      <c r="L49" s="134" t="s">
        <v>206</v>
      </c>
      <c r="M49" s="85" t="s">
        <v>1212</v>
      </c>
      <c r="N49" s="109" t="n">
        <f aca="false">IF($C49="中國",1,0)</f>
        <v>0</v>
      </c>
    </row>
    <row r="50" customFormat="false" ht="15" hidden="false" customHeight="false" outlineLevel="0" collapsed="false">
      <c r="A50" s="134" t="s">
        <v>1213</v>
      </c>
      <c r="B50" s="134" t="s">
        <v>1210</v>
      </c>
      <c r="C50" s="103" t="s">
        <v>1200</v>
      </c>
      <c r="D50" s="103" t="s">
        <v>639</v>
      </c>
      <c r="E50" s="92" t="n">
        <f aca="false">SRC_PRC_015</f>
        <v>5</v>
      </c>
      <c r="F50" s="147" t="n">
        <v>0.5</v>
      </c>
      <c r="G50" s="92" t="n">
        <f aca="false">SRC_PRC_016</f>
        <v>25</v>
      </c>
      <c r="H50" s="64" t="n">
        <v>0</v>
      </c>
      <c r="I50" s="87" t="n">
        <f aca="false">SRC_CAP_003</f>
        <v>51</v>
      </c>
      <c r="J50" s="134" t="s">
        <v>1207</v>
      </c>
      <c r="K50" s="134" t="s">
        <v>1214</v>
      </c>
      <c r="L50" s="134" t="s">
        <v>206</v>
      </c>
      <c r="M50" s="85" t="s">
        <v>1215</v>
      </c>
      <c r="N50" s="109" t="n">
        <f aca="false">IF($C50="中國",1,0)</f>
        <v>0</v>
      </c>
    </row>
    <row r="51" customFormat="false" ht="26.85" hidden="false" customHeight="false" outlineLevel="0" collapsed="false">
      <c r="A51" s="134" t="s">
        <v>1216</v>
      </c>
      <c r="B51" s="134" t="s">
        <v>1210</v>
      </c>
      <c r="C51" s="103" t="s">
        <v>1200</v>
      </c>
      <c r="D51" s="103" t="s">
        <v>639</v>
      </c>
      <c r="E51" s="92" t="n">
        <f aca="false">SRC_PRC_017</f>
        <v>4</v>
      </c>
      <c r="F51" s="147" t="n">
        <v>0.2</v>
      </c>
      <c r="G51" s="92" t="n">
        <f aca="false">SRC_PRC_018</f>
        <v>20</v>
      </c>
      <c r="H51" s="64" t="n">
        <v>0</v>
      </c>
      <c r="J51" s="103" t="s">
        <v>1217</v>
      </c>
      <c r="K51" s="134" t="s">
        <v>1218</v>
      </c>
      <c r="L51" s="134" t="s">
        <v>206</v>
      </c>
      <c r="M51" s="85" t="s">
        <v>1219</v>
      </c>
      <c r="N51" s="109" t="n">
        <f aca="false">IF($C51="中國",1,0)</f>
        <v>0</v>
      </c>
    </row>
    <row r="52" customFormat="false" ht="15" hidden="false" customHeight="false" outlineLevel="0" collapsed="false">
      <c r="A52" s="134" t="s">
        <v>1220</v>
      </c>
      <c r="B52" s="134" t="s">
        <v>1221</v>
      </c>
      <c r="C52" s="103" t="s">
        <v>1222</v>
      </c>
      <c r="D52" s="103" t="s">
        <v>611</v>
      </c>
      <c r="E52" s="92" t="n">
        <f aca="false">SRC_PRC_021</f>
        <v>0.3</v>
      </c>
      <c r="F52" s="92" t="n">
        <f aca="false">SRC_PRC_022</f>
        <v>0.006</v>
      </c>
      <c r="G52" s="92" t="n">
        <f aca="false">SRC_PRC_023</f>
        <v>1.2</v>
      </c>
      <c r="H52" s="64" t="n">
        <v>1</v>
      </c>
      <c r="I52" s="87" t="n">
        <f aca="false">SRC_CAP_010</f>
        <v>39</v>
      </c>
      <c r="J52" s="134" t="s">
        <v>1201</v>
      </c>
      <c r="K52" s="134" t="s">
        <v>1223</v>
      </c>
      <c r="L52" s="134" t="s">
        <v>129</v>
      </c>
      <c r="M52" s="85" t="s">
        <v>1224</v>
      </c>
      <c r="N52" s="109" t="n">
        <f aca="false">IF($C52="中國",1,0)</f>
        <v>1</v>
      </c>
    </row>
    <row r="53" customFormat="false" ht="15" hidden="false" customHeight="false" outlineLevel="0" collapsed="false">
      <c r="A53" s="134" t="s">
        <v>1225</v>
      </c>
      <c r="B53" s="134" t="s">
        <v>1221</v>
      </c>
      <c r="C53" s="103" t="s">
        <v>1222</v>
      </c>
      <c r="D53" s="103" t="s">
        <v>611</v>
      </c>
      <c r="E53" s="92" t="n">
        <f aca="false">SRC_PRC_024</f>
        <v>1.32</v>
      </c>
      <c r="F53" s="92" t="n">
        <f aca="false">SRC_PRC_025</f>
        <v>0.044</v>
      </c>
      <c r="G53" s="92" t="n">
        <f aca="false">SRC_PRC_026</f>
        <v>3.96</v>
      </c>
      <c r="H53" s="64" t="n">
        <v>1</v>
      </c>
      <c r="I53" s="64" t="n">
        <v>36</v>
      </c>
      <c r="J53" s="134" t="s">
        <v>1207</v>
      </c>
      <c r="K53" s="134" t="s">
        <v>1223</v>
      </c>
      <c r="L53" s="134" t="s">
        <v>129</v>
      </c>
      <c r="M53" s="85" t="s">
        <v>1226</v>
      </c>
      <c r="N53" s="109" t="n">
        <f aca="false">IF($C53="中國",1,0)</f>
        <v>1</v>
      </c>
    </row>
    <row r="54" customFormat="false" ht="15" hidden="false" customHeight="false" outlineLevel="0" collapsed="false">
      <c r="A54" s="134" t="s">
        <v>1227</v>
      </c>
      <c r="B54" s="134" t="s">
        <v>1228</v>
      </c>
      <c r="C54" s="103" t="s">
        <v>1222</v>
      </c>
      <c r="D54" s="103" t="s">
        <v>1229</v>
      </c>
      <c r="E54" s="92" t="n">
        <f aca="false">SRC_PRC_029</f>
        <v>1.4</v>
      </c>
      <c r="F54" s="92" t="n">
        <f aca="false">SRC_PRC_030</f>
        <v>0.26</v>
      </c>
      <c r="G54" s="92" t="n">
        <f aca="false">SRC_PRC_031</f>
        <v>4.4</v>
      </c>
      <c r="H54" s="64" t="n">
        <v>0</v>
      </c>
      <c r="I54" s="87" t="n">
        <f aca="false">SRC_CAP_011</f>
        <v>45</v>
      </c>
      <c r="J54" s="134" t="s">
        <v>1201</v>
      </c>
      <c r="K54" s="134" t="s">
        <v>1223</v>
      </c>
      <c r="L54" s="134" t="s">
        <v>129</v>
      </c>
      <c r="M54" s="85" t="s">
        <v>1230</v>
      </c>
      <c r="N54" s="109" t="n">
        <f aca="false">IF($C54="中國",1,0)</f>
        <v>1</v>
      </c>
    </row>
    <row r="55" customFormat="false" ht="15" hidden="false" customHeight="false" outlineLevel="0" collapsed="false">
      <c r="A55" s="134" t="s">
        <v>1231</v>
      </c>
      <c r="B55" s="134" t="s">
        <v>1228</v>
      </c>
      <c r="C55" s="103" t="s">
        <v>1222</v>
      </c>
      <c r="D55" s="103" t="s">
        <v>611</v>
      </c>
      <c r="E55" s="92" t="n">
        <f aca="false">SRC_PRC_032</f>
        <v>0.15</v>
      </c>
      <c r="F55" s="92" t="n">
        <f aca="false">SRC_PRC_033</f>
        <v>0.03</v>
      </c>
      <c r="G55" s="92" t="n">
        <f aca="false">SRC_PRC_034</f>
        <v>0.5</v>
      </c>
      <c r="H55" s="64" t="n">
        <v>0</v>
      </c>
      <c r="I55" s="87" t="n">
        <f aca="false">SRC_CAP_005</f>
        <v>42</v>
      </c>
      <c r="J55" s="134" t="s">
        <v>1207</v>
      </c>
      <c r="K55" s="134" t="s">
        <v>1223</v>
      </c>
      <c r="L55" s="134" t="s">
        <v>129</v>
      </c>
      <c r="M55" s="85" t="s">
        <v>1232</v>
      </c>
      <c r="N55" s="109" t="n">
        <f aca="false">IF($C55="中國",1,0)</f>
        <v>1</v>
      </c>
    </row>
    <row r="56" customFormat="false" ht="24.6" hidden="false" customHeight="false" outlineLevel="0" collapsed="false">
      <c r="A56" s="134" t="s">
        <v>1233</v>
      </c>
      <c r="B56" s="134" t="s">
        <v>1234</v>
      </c>
      <c r="C56" s="103" t="s">
        <v>1222</v>
      </c>
      <c r="D56" s="103" t="s">
        <v>1235</v>
      </c>
      <c r="E56" s="92" t="n">
        <f aca="false">SRC_PRC_038</f>
        <v>2</v>
      </c>
      <c r="F56" s="92" t="n">
        <f aca="false">SRC_PRC_039</f>
        <v>0.25</v>
      </c>
      <c r="G56" s="92" t="n">
        <f aca="false">SRC_PRC_040</f>
        <v>6</v>
      </c>
      <c r="H56" s="64" t="n">
        <v>0</v>
      </c>
      <c r="I56" s="64" t="n">
        <v>40</v>
      </c>
      <c r="J56" s="134" t="s">
        <v>1207</v>
      </c>
      <c r="K56" s="134" t="s">
        <v>1211</v>
      </c>
      <c r="L56" s="134" t="s">
        <v>206</v>
      </c>
      <c r="M56" s="85" t="s">
        <v>1236</v>
      </c>
      <c r="N56" s="109" t="n">
        <f aca="false">IF($C56="中國",1,0)</f>
        <v>1</v>
      </c>
    </row>
    <row r="57" customFormat="false" ht="15" hidden="false" customHeight="false" outlineLevel="0" collapsed="false">
      <c r="A57" s="134" t="s">
        <v>1237</v>
      </c>
      <c r="B57" s="134" t="s">
        <v>1238</v>
      </c>
      <c r="C57" s="103" t="s">
        <v>1222</v>
      </c>
      <c r="D57" s="103" t="s">
        <v>1239</v>
      </c>
      <c r="E57" s="92" t="n">
        <f aca="false">SRC_PRC_035</f>
        <v>3</v>
      </c>
      <c r="F57" s="92" t="n">
        <f aca="false">SRC_PRC_036</f>
        <v>0.3</v>
      </c>
      <c r="G57" s="92" t="n">
        <f aca="false">SRC_PRC_037</f>
        <v>15</v>
      </c>
      <c r="H57" s="64" t="n">
        <v>0</v>
      </c>
      <c r="J57" s="103" t="s">
        <v>1217</v>
      </c>
      <c r="K57" s="134" t="s">
        <v>1240</v>
      </c>
      <c r="L57" s="134" t="s">
        <v>206</v>
      </c>
      <c r="M57" s="85" t="s">
        <v>1241</v>
      </c>
      <c r="N57" s="109" t="n">
        <f aca="false">IF($C57="中國",1,0)</f>
        <v>1</v>
      </c>
    </row>
    <row r="58" customFormat="false" ht="15" hidden="false" customHeight="false" outlineLevel="0" collapsed="false">
      <c r="A58" s="134" t="s">
        <v>1242</v>
      </c>
      <c r="B58" s="134" t="s">
        <v>1243</v>
      </c>
      <c r="C58" s="103" t="s">
        <v>1222</v>
      </c>
      <c r="D58" s="103" t="s">
        <v>639</v>
      </c>
      <c r="E58" s="92" t="n">
        <f aca="false">SRC_PRC_043</f>
        <v>0.3</v>
      </c>
      <c r="G58" s="92" t="n">
        <f aca="false">SRC_PRC_044</f>
        <v>1.2</v>
      </c>
      <c r="H58" s="64" t="n">
        <v>0</v>
      </c>
      <c r="J58" s="103" t="s">
        <v>1217</v>
      </c>
      <c r="K58" s="134" t="s">
        <v>1214</v>
      </c>
      <c r="L58" s="134" t="s">
        <v>206</v>
      </c>
      <c r="M58" s="85" t="s">
        <v>1244</v>
      </c>
      <c r="N58" s="109" t="n">
        <f aca="false">IF($C58="中國",1,0)</f>
        <v>1</v>
      </c>
    </row>
    <row r="59" customFormat="false" ht="15" hidden="false" customHeight="false" outlineLevel="0" collapsed="false">
      <c r="A59" s="71" t="s">
        <v>1245</v>
      </c>
    </row>
    <row r="61" customFormat="false" ht="15" hidden="false" customHeight="false" outlineLevel="0" collapsed="false">
      <c r="A61" s="73" t="s">
        <v>1246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57" t="s">
        <v>357</v>
      </c>
      <c r="B62" s="57" t="s">
        <v>77</v>
      </c>
      <c r="C62" s="57" t="s">
        <v>324</v>
      </c>
      <c r="F62" s="57" t="s">
        <v>81</v>
      </c>
      <c r="G62" s="57" t="s">
        <v>325</v>
      </c>
    </row>
    <row r="63" customFormat="false" ht="52.2" hidden="false" customHeight="false" outlineLevel="0" collapsed="false">
      <c r="A63" s="5" t="s">
        <v>1247</v>
      </c>
      <c r="B63" s="59" t="s">
        <v>97</v>
      </c>
      <c r="C63" s="76" t="n">
        <v>1</v>
      </c>
      <c r="F63" s="56" t="s">
        <v>1248</v>
      </c>
      <c r="G63" s="91" t="s">
        <v>1249</v>
      </c>
    </row>
    <row r="64" customFormat="false" ht="39.55" hidden="false" customHeight="false" outlineLevel="0" collapsed="false">
      <c r="A64" s="5" t="s">
        <v>1250</v>
      </c>
      <c r="B64" s="59" t="s">
        <v>97</v>
      </c>
      <c r="C64" s="76" t="n">
        <v>1</v>
      </c>
      <c r="F64" s="56" t="s">
        <v>94</v>
      </c>
      <c r="G64" s="91" t="s">
        <v>1251</v>
      </c>
    </row>
    <row r="66" customFormat="false" ht="15" hidden="false" customHeight="false" outlineLevel="0" collapsed="false">
      <c r="A66" s="73" t="s">
        <v>1252</v>
      </c>
      <c r="B66" s="67"/>
      <c r="C66" s="67"/>
      <c r="D66" s="67"/>
      <c r="E66" s="67"/>
      <c r="F66" s="67"/>
      <c r="G66" s="67"/>
    </row>
    <row r="67" customFormat="false" ht="15" hidden="false" customHeight="false" outlineLevel="0" collapsed="false">
      <c r="A67" s="57" t="s">
        <v>357</v>
      </c>
      <c r="B67" s="57" t="s">
        <v>77</v>
      </c>
      <c r="C67" s="57" t="s">
        <v>79</v>
      </c>
      <c r="D67" s="10" t="s">
        <v>1253</v>
      </c>
      <c r="E67" s="10" t="s">
        <v>1254</v>
      </c>
      <c r="F67" s="57" t="s">
        <v>81</v>
      </c>
      <c r="G67" s="57" t="s">
        <v>325</v>
      </c>
    </row>
    <row r="68" customFormat="false" ht="15" hidden="false" customHeight="false" outlineLevel="0" collapsed="false">
      <c r="A68" s="10" t="s">
        <v>1255</v>
      </c>
    </row>
    <row r="69" customFormat="false" ht="15" hidden="false" customHeight="false" outlineLevel="0" collapsed="false">
      <c r="A69" s="6" t="s">
        <v>1256</v>
      </c>
      <c r="B69" s="59" t="s">
        <v>867</v>
      </c>
      <c r="C69" s="92" t="n">
        <f aca="false">SRC_DEM_007</f>
        <v>13.07</v>
      </c>
      <c r="D69" s="92" t="n">
        <f aca="false">SRC_DEM_007</f>
        <v>13.07</v>
      </c>
      <c r="E69" s="92" t="n">
        <f aca="false">SRC_DEM_007</f>
        <v>13.07</v>
      </c>
      <c r="F69" s="56" t="s">
        <v>1257</v>
      </c>
      <c r="G69" s="85" t="s">
        <v>1258</v>
      </c>
    </row>
    <row r="70" customFormat="false" ht="39.55" hidden="false" customHeight="false" outlineLevel="0" collapsed="false">
      <c r="A70" s="5" t="s">
        <v>1259</v>
      </c>
      <c r="B70" s="59" t="s">
        <v>93</v>
      </c>
      <c r="C70" s="107" t="n">
        <f aca="false">SRC_DEM_039</f>
        <v>0.7</v>
      </c>
      <c r="D70" s="101" t="n">
        <f aca="false">SRC_DEM_041/SRC_DEM_007</f>
        <v>0.612088752869166</v>
      </c>
      <c r="E70" s="148" t="n">
        <v>0.82</v>
      </c>
      <c r="F70" s="56" t="s">
        <v>1260</v>
      </c>
      <c r="G70" s="91" t="s">
        <v>1261</v>
      </c>
    </row>
    <row r="71" customFormat="false" ht="29.85" hidden="false" customHeight="false" outlineLevel="0" collapsed="false">
      <c r="A71" s="6" t="s">
        <v>1262</v>
      </c>
      <c r="B71" s="59" t="s">
        <v>93</v>
      </c>
      <c r="C71" s="101" t="n">
        <f aca="false">1-C70</f>
        <v>0.3</v>
      </c>
      <c r="D71" s="101" t="n">
        <f aca="false">1-E70</f>
        <v>0.18</v>
      </c>
      <c r="E71" s="101" t="n">
        <f aca="false">1-D70</f>
        <v>0.387911247130834</v>
      </c>
      <c r="F71" s="56" t="s">
        <v>141</v>
      </c>
      <c r="G71" s="85" t="s">
        <v>1263</v>
      </c>
    </row>
    <row r="72" customFormat="false" ht="15" hidden="false" customHeight="false" outlineLevel="0" collapsed="false">
      <c r="A72" s="5" t="s">
        <v>1264</v>
      </c>
      <c r="B72" s="59" t="s">
        <v>867</v>
      </c>
      <c r="C72" s="113" t="n">
        <f aca="false">C69*C70</f>
        <v>9.149</v>
      </c>
      <c r="D72" s="113" t="n">
        <f aca="false">D69*D70</f>
        <v>8</v>
      </c>
      <c r="E72" s="113" t="n">
        <f aca="false">E69*E70</f>
        <v>10.7174</v>
      </c>
      <c r="F72" s="56" t="s">
        <v>141</v>
      </c>
      <c r="G72" s="91" t="s">
        <v>1265</v>
      </c>
    </row>
    <row r="73" customFormat="false" ht="15" hidden="false" customHeight="false" outlineLevel="0" collapsed="false">
      <c r="A73" s="6" t="s">
        <v>1266</v>
      </c>
      <c r="B73" s="59" t="s">
        <v>867</v>
      </c>
      <c r="C73" s="113" t="n">
        <f aca="false">C69*C71</f>
        <v>3.921</v>
      </c>
      <c r="D73" s="113" t="n">
        <f aca="false">D69*D71</f>
        <v>2.3526</v>
      </c>
      <c r="E73" s="113" t="n">
        <f aca="false">E69*E71</f>
        <v>5.07</v>
      </c>
      <c r="F73" s="56" t="s">
        <v>141</v>
      </c>
      <c r="G73" s="91" t="s">
        <v>1267</v>
      </c>
    </row>
    <row r="74" customFormat="false" ht="15" hidden="false" customHeight="false" outlineLevel="0" collapsed="false">
      <c r="A74" s="10" t="s">
        <v>1268</v>
      </c>
    </row>
    <row r="75" customFormat="false" ht="15" hidden="false" customHeight="false" outlineLevel="0" collapsed="false">
      <c r="A75" s="6" t="s">
        <v>1269</v>
      </c>
      <c r="B75" s="58" t="s">
        <v>1270</v>
      </c>
      <c r="C75" s="96" t="n">
        <f aca="false">SRC_DEM_024</f>
        <v>15.5</v>
      </c>
      <c r="D75" s="59" t="s">
        <v>608</v>
      </c>
      <c r="E75" s="59" t="s">
        <v>608</v>
      </c>
      <c r="F75" s="56" t="s">
        <v>1257</v>
      </c>
      <c r="G75" s="85" t="s">
        <v>1271</v>
      </c>
    </row>
    <row r="76" customFormat="false" ht="15" hidden="false" customHeight="false" outlineLevel="0" collapsed="false">
      <c r="A76" s="6" t="s">
        <v>1272</v>
      </c>
      <c r="B76" s="58" t="s">
        <v>1270</v>
      </c>
      <c r="C76" s="96" t="n">
        <f aca="false">SRC_DEM_025</f>
        <v>20</v>
      </c>
      <c r="D76" s="59" t="s">
        <v>608</v>
      </c>
      <c r="E76" s="59" t="s">
        <v>608</v>
      </c>
      <c r="F76" s="56" t="s">
        <v>1257</v>
      </c>
      <c r="G76" s="85" t="s">
        <v>1273</v>
      </c>
    </row>
    <row r="77" customFormat="false" ht="15" hidden="false" customHeight="false" outlineLevel="0" collapsed="false">
      <c r="A77" s="6" t="s">
        <v>1274</v>
      </c>
      <c r="B77" s="58" t="s">
        <v>1270</v>
      </c>
      <c r="C77" s="96" t="n">
        <f aca="false">SRC_DEM_026</f>
        <v>35</v>
      </c>
      <c r="D77" s="59" t="s">
        <v>608</v>
      </c>
      <c r="E77" s="59" t="s">
        <v>608</v>
      </c>
      <c r="F77" s="56" t="s">
        <v>1257</v>
      </c>
      <c r="G77" s="85" t="s">
        <v>1275</v>
      </c>
    </row>
    <row r="78" customFormat="false" ht="15" hidden="false" customHeight="false" outlineLevel="0" collapsed="false">
      <c r="A78" s="6" t="s">
        <v>1276</v>
      </c>
      <c r="B78" s="58" t="s">
        <v>1270</v>
      </c>
      <c r="C78" s="96" t="n">
        <f aca="false">SRC_DEM_019</f>
        <v>50</v>
      </c>
      <c r="D78" s="59" t="s">
        <v>608</v>
      </c>
      <c r="E78" s="59" t="s">
        <v>608</v>
      </c>
      <c r="F78" s="56" t="s">
        <v>1277</v>
      </c>
      <c r="G78" s="85" t="s">
        <v>1278</v>
      </c>
    </row>
    <row r="79" customFormat="false" ht="29.85" hidden="false" customHeight="false" outlineLevel="0" collapsed="false">
      <c r="A79" s="6" t="s">
        <v>1279</v>
      </c>
      <c r="B79" s="58" t="s">
        <v>1270</v>
      </c>
      <c r="C79" s="72" t="n">
        <f aca="false">(C75+C78)/2</f>
        <v>32.75</v>
      </c>
      <c r="D79" s="72" t="n">
        <f aca="false">C79</f>
        <v>32.75</v>
      </c>
      <c r="E79" s="72" t="n">
        <f aca="false">C79</f>
        <v>32.75</v>
      </c>
      <c r="F79" s="56" t="s">
        <v>141</v>
      </c>
      <c r="G79" s="85" t="s">
        <v>1280</v>
      </c>
    </row>
    <row r="80" customFormat="false" ht="15" hidden="false" customHeight="false" outlineLevel="0" collapsed="false">
      <c r="A80" s="10" t="s">
        <v>1281</v>
      </c>
    </row>
    <row r="81" customFormat="false" ht="29.85" hidden="false" customHeight="false" outlineLevel="0" collapsed="false">
      <c r="A81" s="6" t="s">
        <v>1282</v>
      </c>
      <c r="B81" s="59" t="s">
        <v>787</v>
      </c>
      <c r="C81" s="65" t="n">
        <f aca="false">AL_DChatPaid</f>
        <v>1460000000</v>
      </c>
      <c r="D81" s="65" t="n">
        <f aca="false">SRC_DEM_012*1000000000*AL_TokPerPrompt_Hi*365/1000000*(1-AL_FreeShare_Lo)</f>
        <v>6022500000</v>
      </c>
      <c r="E81" s="65" t="n">
        <f aca="false">SRC_DEM_012*1000000000*AL_TokPerPrompt_Lo*365/1000000*(1-AL_FreeShare_Hi)</f>
        <v>365000000</v>
      </c>
      <c r="F81" s="56" t="s">
        <v>1283</v>
      </c>
      <c r="G81" s="91" t="s">
        <v>1284</v>
      </c>
    </row>
    <row r="82" customFormat="false" ht="29.85" hidden="false" customHeight="false" outlineLevel="0" collapsed="false">
      <c r="A82" s="6" t="s">
        <v>1285</v>
      </c>
      <c r="B82" s="59" t="s">
        <v>787</v>
      </c>
      <c r="C82" s="65" t="n">
        <f aca="false">AL_DAPI</f>
        <v>2365200000</v>
      </c>
      <c r="D82" s="65" t="n">
        <f aca="false">SRC_DEM_010*1000000000*525600*AL_APIratio_Hi/1000000</f>
        <v>2838240000</v>
      </c>
      <c r="E82" s="65" t="n">
        <f aca="false">SRC_DEM_010*1000000000*525600*AL_APIratio_Lo/1000000</f>
        <v>1892160000</v>
      </c>
      <c r="F82" s="56" t="s">
        <v>1283</v>
      </c>
      <c r="G82" s="91" t="s">
        <v>1286</v>
      </c>
    </row>
    <row r="83" customFormat="false" ht="15" hidden="false" customHeight="false" outlineLevel="0" collapsed="false">
      <c r="A83" s="6" t="s">
        <v>1287</v>
      </c>
      <c r="B83" s="59" t="s">
        <v>787</v>
      </c>
      <c r="C83" s="65" t="n">
        <f aca="false">C81+C82</f>
        <v>3825200000</v>
      </c>
      <c r="D83" s="65" t="n">
        <f aca="false">D81+D82</f>
        <v>8860740000</v>
      </c>
      <c r="E83" s="65" t="n">
        <f aca="false">E81+E82</f>
        <v>2257160000</v>
      </c>
      <c r="F83" s="56" t="s">
        <v>141</v>
      </c>
      <c r="G83" s="91" t="s">
        <v>1288</v>
      </c>
    </row>
    <row r="84" customFormat="false" ht="15" hidden="false" customHeight="false" outlineLevel="0" collapsed="false">
      <c r="A84" s="5" t="s">
        <v>1289</v>
      </c>
      <c r="B84" s="59" t="s">
        <v>1290</v>
      </c>
      <c r="C84" s="72" t="n">
        <f aca="false">C81/(C79*1000000)</f>
        <v>44.5801526717557</v>
      </c>
      <c r="D84" s="72" t="n">
        <f aca="false">D81/(D79*1000000)</f>
        <v>183.893129770992</v>
      </c>
      <c r="E84" s="72" t="n">
        <f aca="false">E81/(E79*1000000)</f>
        <v>11.1450381679389</v>
      </c>
      <c r="F84" s="56" t="s">
        <v>141</v>
      </c>
      <c r="G84" s="85" t="s">
        <v>1291</v>
      </c>
    </row>
    <row r="85" customFormat="false" ht="29.85" hidden="false" customHeight="false" outlineLevel="0" collapsed="false">
      <c r="A85" s="6" t="s">
        <v>1292</v>
      </c>
      <c r="B85" s="59" t="s">
        <v>787</v>
      </c>
      <c r="C85" s="65" t="n">
        <f aca="false">SRC_DEM_011*1000000000*525600/1000000</f>
        <v>7884000000</v>
      </c>
      <c r="D85" s="65" t="n">
        <f aca="false">C85</f>
        <v>7884000000</v>
      </c>
      <c r="E85" s="65" t="n">
        <f aca="false">C85</f>
        <v>7884000000</v>
      </c>
      <c r="F85" s="56" t="s">
        <v>1293</v>
      </c>
      <c r="G85" s="85" t="s">
        <v>1294</v>
      </c>
    </row>
    <row r="86" customFormat="false" ht="29.85" hidden="false" customHeight="false" outlineLevel="0" collapsed="false">
      <c r="A86" s="6" t="s">
        <v>1295</v>
      </c>
      <c r="B86" s="59" t="s">
        <v>1296</v>
      </c>
      <c r="C86" s="72" t="n">
        <f aca="false">(SRC_DEM_013_Lo*SRC_DEM_013_Hi)^0.5</f>
        <v>31.6227766016838</v>
      </c>
      <c r="D86" s="96" t="n">
        <f aca="false">SRC_DEM_013_Hi</f>
        <v>100</v>
      </c>
      <c r="E86" s="96" t="n">
        <f aca="false">SRC_DEM_013_Lo</f>
        <v>10</v>
      </c>
      <c r="F86" s="56" t="s">
        <v>1277</v>
      </c>
      <c r="G86" s="85" t="s">
        <v>1297</v>
      </c>
    </row>
    <row r="87" customFormat="false" ht="15" hidden="false" customHeight="false" outlineLevel="0" collapsed="false">
      <c r="A87" s="5" t="s">
        <v>1298</v>
      </c>
      <c r="B87" s="59" t="s">
        <v>93</v>
      </c>
      <c r="C87" s="101" t="n">
        <f aca="false">1-IF_FreeShare</f>
        <v>0.54</v>
      </c>
      <c r="D87" s="101" t="n">
        <f aca="false">C87</f>
        <v>0.54</v>
      </c>
      <c r="E87" s="101" t="n">
        <f aca="false">C87</f>
        <v>0.54</v>
      </c>
      <c r="F87" s="56" t="s">
        <v>1162</v>
      </c>
      <c r="G87" s="85" t="s">
        <v>1299</v>
      </c>
    </row>
    <row r="88" customFormat="false" ht="15" hidden="false" customHeight="false" outlineLevel="0" collapsed="false">
      <c r="A88" s="6" t="s">
        <v>1300</v>
      </c>
      <c r="B88" s="59" t="s">
        <v>787</v>
      </c>
      <c r="C88" s="65" t="n">
        <f aca="false">C86*1000000*365*C87</f>
        <v>6232849268.19188</v>
      </c>
      <c r="D88" s="65" t="n">
        <f aca="false">D86*1000000*365*D87</f>
        <v>19710000000</v>
      </c>
      <c r="E88" s="65" t="n">
        <f aca="false">E86*1000000*365*E87</f>
        <v>1971000000</v>
      </c>
      <c r="F88" s="56" t="s">
        <v>141</v>
      </c>
      <c r="G88" s="85" t="s">
        <v>1301</v>
      </c>
    </row>
    <row r="89" customFormat="false" ht="15" hidden="false" customHeight="false" outlineLevel="0" collapsed="false">
      <c r="A89" s="10" t="s">
        <v>1302</v>
      </c>
    </row>
    <row r="90" customFormat="false" ht="29.85" hidden="false" customHeight="false" outlineLevel="0" collapsed="false">
      <c r="A90" s="5" t="s">
        <v>1303</v>
      </c>
      <c r="B90" s="59" t="s">
        <v>795</v>
      </c>
      <c r="C90" s="124" t="n">
        <f aca="false">INDEX(B4_MixPaid,1,1)*IF_PriceRef_Luna+INDEX(B4_MixPaid,1,2)*IF_PriceRef_Sol+INDEX(B4_MixPaid,1,3)*IF_PriceRef_Astra</f>
        <v>1.96067555555556</v>
      </c>
      <c r="D90" s="124" t="n">
        <f aca="false">C90</f>
        <v>1.96067555555556</v>
      </c>
      <c r="E90" s="124" t="n">
        <f aca="false">C90</f>
        <v>1.96067555555556</v>
      </c>
      <c r="F90" s="56" t="s">
        <v>141</v>
      </c>
      <c r="G90" s="91" t="s">
        <v>1304</v>
      </c>
    </row>
    <row r="91" customFormat="false" ht="15" hidden="false" customHeight="false" outlineLevel="0" collapsed="false">
      <c r="A91" s="10" t="s">
        <v>1305</v>
      </c>
    </row>
    <row r="92" customFormat="false" ht="15" hidden="false" customHeight="false" outlineLevel="0" collapsed="false">
      <c r="A92" s="5" t="s">
        <v>1306</v>
      </c>
      <c r="B92" s="59" t="s">
        <v>97</v>
      </c>
      <c r="C92" s="112" t="n">
        <f aca="false">C72*1000000000/(C81*C90)</f>
        <v>3.1960608364849</v>
      </c>
      <c r="D92" s="112" t="n">
        <f aca="false">D72*1000000000/(D81*D90)</f>
        <v>0.677497105280701</v>
      </c>
      <c r="E92" s="112" t="n">
        <f aca="false">E72*1000000000/(E81*E90)</f>
        <v>14.9758279195292</v>
      </c>
      <c r="F92" s="56" t="s">
        <v>141</v>
      </c>
      <c r="G92" s="85" t="s">
        <v>1307</v>
      </c>
    </row>
    <row r="93" customFormat="false" ht="15" hidden="false" customHeight="false" outlineLevel="0" collapsed="false">
      <c r="A93" s="5" t="s">
        <v>1308</v>
      </c>
      <c r="B93" s="59" t="s">
        <v>97</v>
      </c>
      <c r="C93" s="112" t="n">
        <f aca="false">C73*1000000000/(C82*C90)</f>
        <v>0.84551873981082</v>
      </c>
      <c r="D93" s="112" t="n">
        <f aca="false">D73*1000000000/(D82*D90)</f>
        <v>0.42275936990541</v>
      </c>
      <c r="E93" s="112" t="n">
        <f aca="false">E73*1000000000/(E82*E90)</f>
        <v>1.36660928680211</v>
      </c>
      <c r="F93" s="56" t="s">
        <v>141</v>
      </c>
      <c r="G93" s="91"/>
    </row>
    <row r="94" customFormat="false" ht="15" hidden="false" customHeight="false" outlineLevel="0" collapsed="false">
      <c r="A94" s="5" t="s">
        <v>1309</v>
      </c>
      <c r="B94" s="59" t="s">
        <v>97</v>
      </c>
      <c r="C94" s="104" t="n">
        <f aca="false">C69*1000000000/(C83*C90)</f>
        <v>1.74267221182383</v>
      </c>
      <c r="D94" s="112" t="n">
        <f aca="false">D69*1000000000/(D83*D90)</f>
        <v>0.752315240563261</v>
      </c>
      <c r="E94" s="112" t="n">
        <f aca="false">E69*1000000000/(E83*E90)</f>
        <v>2.95329960865358</v>
      </c>
      <c r="F94" s="56" t="s">
        <v>141</v>
      </c>
      <c r="G94" s="91" t="s">
        <v>1310</v>
      </c>
    </row>
    <row r="95" customFormat="false" ht="15" hidden="false" customHeight="false" outlineLevel="0" collapsed="false">
      <c r="A95" s="5" t="s">
        <v>1311</v>
      </c>
      <c r="B95" s="59" t="s">
        <v>97</v>
      </c>
      <c r="C95" s="58" t="s">
        <v>1312</v>
      </c>
      <c r="D95" s="59" t="s">
        <v>608</v>
      </c>
      <c r="E95" s="59" t="s">
        <v>608</v>
      </c>
      <c r="F95" s="56" t="s">
        <v>608</v>
      </c>
      <c r="G95" s="91" t="s">
        <v>1313</v>
      </c>
    </row>
    <row r="96" customFormat="false" ht="29.85" hidden="false" customHeight="false" outlineLevel="0" collapsed="false">
      <c r="A96" s="5" t="s">
        <v>1314</v>
      </c>
      <c r="B96" s="59" t="s">
        <v>97</v>
      </c>
      <c r="C96" s="112" t="n">
        <f aca="false">C73*1000000000/(C85*C90)</f>
        <v>0.253655621943246</v>
      </c>
      <c r="D96" s="112" t="n">
        <f aca="false">D73*1000000000/(D85*D90)</f>
        <v>0.152193373165948</v>
      </c>
      <c r="E96" s="112" t="n">
        <f aca="false">E73*1000000000/(E85*E90)</f>
        <v>0.327986228832506</v>
      </c>
      <c r="F96" s="56" t="s">
        <v>141</v>
      </c>
      <c r="G96" s="91" t="s">
        <v>1315</v>
      </c>
    </row>
    <row r="97" customFormat="false" ht="26.85" hidden="false" customHeight="false" outlineLevel="0" collapsed="false">
      <c r="A97" s="5" t="s">
        <v>1316</v>
      </c>
      <c r="B97" s="59" t="s">
        <v>97</v>
      </c>
      <c r="C97" s="104" t="n">
        <f aca="false">C69*1000000000/(C88*C90)</f>
        <v>1.06950600886299</v>
      </c>
      <c r="D97" s="112" t="n">
        <f aca="false">D69*1000000000/(D88*D90)</f>
        <v>0.338207495924328</v>
      </c>
      <c r="E97" s="112" t="n">
        <f aca="false">E69*1000000000/(E88*E90)</f>
        <v>3.38207495924328</v>
      </c>
      <c r="F97" s="56" t="s">
        <v>141</v>
      </c>
      <c r="G97" s="85" t="s">
        <v>1317</v>
      </c>
    </row>
    <row r="98" customFormat="false" ht="15" hidden="false" customHeight="false" outlineLevel="0" collapsed="false">
      <c r="A98" s="10" t="s">
        <v>1318</v>
      </c>
    </row>
    <row r="99" customFormat="false" ht="15" hidden="false" customHeight="false" outlineLevel="0" collapsed="false">
      <c r="A99" s="6" t="s">
        <v>1319</v>
      </c>
      <c r="B99" s="59" t="s">
        <v>1320</v>
      </c>
      <c r="C99" s="96" t="n">
        <f aca="false">SRC_DEM_044</f>
        <v>13</v>
      </c>
      <c r="D99" s="96" t="n">
        <f aca="false">SRC_DEM_044_Hi</f>
        <v>30</v>
      </c>
      <c r="E99" s="96" t="n">
        <f aca="false">SRC_DEM_044</f>
        <v>13</v>
      </c>
      <c r="F99" s="56" t="s">
        <v>1277</v>
      </c>
      <c r="G99" s="85" t="s">
        <v>1321</v>
      </c>
    </row>
    <row r="100" customFormat="false" ht="15" hidden="false" customHeight="false" outlineLevel="0" collapsed="false">
      <c r="A100" s="5" t="s">
        <v>1322</v>
      </c>
      <c r="B100" s="58" t="s">
        <v>1323</v>
      </c>
      <c r="C100" s="64" t="n">
        <v>21</v>
      </c>
      <c r="D100" s="109" t="n">
        <f aca="false">C100</f>
        <v>21</v>
      </c>
      <c r="E100" s="109" t="n">
        <f aca="false">C100</f>
        <v>21</v>
      </c>
      <c r="F100" s="56" t="s">
        <v>94</v>
      </c>
      <c r="G100" s="85" t="s">
        <v>1324</v>
      </c>
    </row>
    <row r="101" customFormat="false" ht="15" hidden="false" customHeight="false" outlineLevel="0" collapsed="false">
      <c r="A101" s="5" t="s">
        <v>1325</v>
      </c>
      <c r="B101" s="59" t="s">
        <v>1326</v>
      </c>
      <c r="C101" s="65" t="n">
        <f aca="false">C99*C100</f>
        <v>273</v>
      </c>
      <c r="D101" s="65" t="n">
        <f aca="false">D99*D100</f>
        <v>630</v>
      </c>
      <c r="E101" s="65" t="n">
        <f aca="false">E99*E100</f>
        <v>273</v>
      </c>
      <c r="F101" s="56" t="s">
        <v>141</v>
      </c>
      <c r="G101" s="91"/>
    </row>
    <row r="102" customFormat="false" ht="29.85" hidden="false" customHeight="false" outlineLevel="0" collapsed="false">
      <c r="A102" s="5" t="s">
        <v>1327</v>
      </c>
      <c r="B102" s="59" t="s">
        <v>1328</v>
      </c>
      <c r="C102" s="61" t="n">
        <v>200</v>
      </c>
      <c r="D102" s="65" t="n">
        <f aca="false">C102</f>
        <v>200</v>
      </c>
      <c r="E102" s="65" t="n">
        <f aca="false">C102</f>
        <v>200</v>
      </c>
      <c r="F102" s="56" t="s">
        <v>94</v>
      </c>
      <c r="G102" s="85" t="s">
        <v>1329</v>
      </c>
    </row>
    <row r="103" customFormat="false" ht="29.85" hidden="false" customHeight="false" outlineLevel="0" collapsed="false">
      <c r="A103" s="5" t="s">
        <v>1330</v>
      </c>
      <c r="B103" s="59" t="s">
        <v>97</v>
      </c>
      <c r="C103" s="112" t="n">
        <f aca="false">C102/C101</f>
        <v>0.732600732600733</v>
      </c>
      <c r="D103" s="112" t="n">
        <f aca="false">D102/D101</f>
        <v>0.317460317460317</v>
      </c>
      <c r="E103" s="112" t="n">
        <f aca="false">E102/(E101*(1-B4_Disc))</f>
        <v>0.915750915750916</v>
      </c>
      <c r="F103" s="56" t="s">
        <v>98</v>
      </c>
      <c r="G103" s="91" t="s">
        <v>1331</v>
      </c>
    </row>
    <row r="104" customFormat="false" ht="26.85" hidden="false" customHeight="false" outlineLevel="0" collapsed="false">
      <c r="A104" s="5" t="s">
        <v>1332</v>
      </c>
      <c r="B104" s="59" t="s">
        <v>93</v>
      </c>
      <c r="C104" s="148" t="n">
        <v>0.995</v>
      </c>
      <c r="D104" s="107" t="n">
        <f aca="false">SRC_DEM_047</f>
        <v>0.9987</v>
      </c>
      <c r="E104" s="101" t="n">
        <f aca="false">C104</f>
        <v>0.995</v>
      </c>
      <c r="F104" s="56" t="s">
        <v>1333</v>
      </c>
      <c r="G104" s="91" t="s">
        <v>1334</v>
      </c>
    </row>
    <row r="105" customFormat="false" ht="26.85" hidden="false" customHeight="false" outlineLevel="0" collapsed="false">
      <c r="A105" s="5" t="s">
        <v>1335</v>
      </c>
      <c r="B105" s="59" t="s">
        <v>93</v>
      </c>
      <c r="C105" s="107" t="n">
        <f aca="false">SRC_DEM_048</f>
        <v>0.919</v>
      </c>
      <c r="D105" s="107" t="n">
        <f aca="false">SRC_DEM_046</f>
        <v>0.993</v>
      </c>
      <c r="E105" s="101" t="n">
        <f aca="false">C105</f>
        <v>0.919</v>
      </c>
      <c r="F105" s="56" t="s">
        <v>1336</v>
      </c>
      <c r="G105" s="91" t="s">
        <v>1337</v>
      </c>
    </row>
    <row r="106" customFormat="false" ht="15" hidden="false" customHeight="false" outlineLevel="0" collapsed="false">
      <c r="A106" s="5" t="s">
        <v>1338</v>
      </c>
      <c r="B106" s="59" t="s">
        <v>795</v>
      </c>
      <c r="C106" s="124" t="n">
        <f aca="false">C104*((1-C105)*IF_PriceFresh_Sol+C105*IF_PriceCached_Sol)+(1-C104)*IF_PriceOut_Sol</f>
        <v>0.3152568</v>
      </c>
      <c r="D106" s="124" t="n">
        <f aca="false">D104*((1-D105)*IF_PriceFresh_Sol+D105*IF_PriceCached_Sol)+(1-D104)*IF_PriceOut_Sol</f>
        <v>0.180258896</v>
      </c>
      <c r="E106" s="124" t="n">
        <f aca="false">E104*((1-E105)*IF_PriceFresh_Sol+E105*IF_PriceCached_Sol)+(1-E104)*IF_PriceOut_Sol</f>
        <v>0.3152568</v>
      </c>
      <c r="F106" s="56" t="s">
        <v>141</v>
      </c>
      <c r="G106" s="85" t="s">
        <v>1339</v>
      </c>
    </row>
    <row r="107" customFormat="false" ht="29.85" hidden="false" customHeight="false" outlineLevel="0" collapsed="false">
      <c r="A107" s="5" t="s">
        <v>1340</v>
      </c>
      <c r="B107" s="59" t="s">
        <v>97</v>
      </c>
      <c r="C107" s="112" t="n">
        <f aca="false">C106/IF_PriceRef_Sol</f>
        <v>0.196163661504425</v>
      </c>
      <c r="D107" s="112" t="n">
        <f aca="false">D106/IF_PriceRef_Sol</f>
        <v>0.112163306415929</v>
      </c>
      <c r="E107" s="112" t="n">
        <f aca="false">E106/IF_PriceRef_Sol</f>
        <v>0.196163661504425</v>
      </c>
      <c r="F107" s="56" t="s">
        <v>141</v>
      </c>
      <c r="G107" s="85" t="s">
        <v>1341</v>
      </c>
    </row>
    <row r="108" customFormat="false" ht="15" hidden="false" customHeight="false" outlineLevel="0" collapsed="false">
      <c r="A108" s="10" t="s">
        <v>1342</v>
      </c>
    </row>
    <row r="109" customFormat="false" ht="39.55" hidden="false" customHeight="false" outlineLevel="0" collapsed="false">
      <c r="A109" s="5" t="s">
        <v>1343</v>
      </c>
      <c r="B109" s="59" t="s">
        <v>85</v>
      </c>
      <c r="C109" s="70" t="n">
        <f aca="false">AL_ServeGWSpend/AL_SpendBasis*AL_Kappa</f>
        <v>0.690843208476107</v>
      </c>
      <c r="D109" s="70" t="n">
        <f aca="false">AL_ServeGWSpend/AL_SpendBasis_Lo*AL_Kappa_Hi</f>
        <v>1.07771540522273</v>
      </c>
      <c r="E109" s="70" t="n">
        <f aca="false">AL_ServeGWSpend/AL_SpendBasis_Hi*AL_Kappa_Lo</f>
        <v>0.364851569476444</v>
      </c>
      <c r="F109" s="56" t="s">
        <v>1283</v>
      </c>
      <c r="G109" s="85" t="s">
        <v>1344</v>
      </c>
    </row>
    <row r="110" customFormat="false" ht="29.85" hidden="false" customHeight="false" outlineLevel="0" collapsed="false">
      <c r="A110" s="5" t="s">
        <v>1345</v>
      </c>
      <c r="B110" s="59" t="s">
        <v>1346</v>
      </c>
      <c r="C110" s="60" t="n">
        <f aca="false">AL_BlendPaid</f>
        <v>24125625824.4492</v>
      </c>
      <c r="D110" s="60" t="n">
        <f aca="false">AL_BlendPaid</f>
        <v>24125625824.4492</v>
      </c>
      <c r="E110" s="60" t="n">
        <f aca="false">AL_BlendPaid</f>
        <v>24125625824.4492</v>
      </c>
      <c r="F110" s="56" t="s">
        <v>141</v>
      </c>
      <c r="G110" s="85" t="s">
        <v>1347</v>
      </c>
    </row>
    <row r="111" customFormat="false" ht="29.85" hidden="false" customHeight="false" outlineLevel="0" collapsed="false">
      <c r="A111" s="5" t="s">
        <v>1348</v>
      </c>
      <c r="B111" s="59" t="s">
        <v>1346</v>
      </c>
      <c r="C111" s="60" t="n">
        <f aca="false">AL_BlendFree</f>
        <v>91100077130.4794</v>
      </c>
      <c r="D111" s="60" t="n">
        <f aca="false">AL_BlendFree</f>
        <v>91100077130.4794</v>
      </c>
      <c r="E111" s="60" t="n">
        <f aca="false">AL_BlendFree</f>
        <v>91100077130.4794</v>
      </c>
      <c r="F111" s="56" t="s">
        <v>141</v>
      </c>
      <c r="G111" s="85" t="s">
        <v>1349</v>
      </c>
    </row>
    <row r="112" customFormat="false" ht="26.85" hidden="false" customHeight="false" outlineLevel="0" collapsed="false">
      <c r="A112" s="5" t="s">
        <v>1350</v>
      </c>
      <c r="B112" s="59" t="s">
        <v>97</v>
      </c>
      <c r="C112" s="112" t="n">
        <f aca="false">AL_DFree/AL_DPaid</f>
        <v>0.572519083969466</v>
      </c>
      <c r="D112" s="112" t="n">
        <f aca="false">AL_DFree/AL_DPaid</f>
        <v>0.572519083969466</v>
      </c>
      <c r="E112" s="112" t="n">
        <f aca="false">AL_DFree/AL_DPaid</f>
        <v>0.572519083969466</v>
      </c>
      <c r="F112" s="56" t="s">
        <v>141</v>
      </c>
      <c r="G112" s="85" t="s">
        <v>1351</v>
      </c>
    </row>
    <row r="113" customFormat="false" ht="29.85" hidden="false" customHeight="false" outlineLevel="0" collapsed="false">
      <c r="A113" s="5" t="s">
        <v>1352</v>
      </c>
      <c r="B113" s="59" t="s">
        <v>97</v>
      </c>
      <c r="C113" s="112" t="n">
        <f aca="false">IF(AND(ISNUMBER(C110),ISNUMBER(C111)),IF_FreeShare*(C111/C110)/(1-IF_FreeShare),"SLO 不可達")</f>
        <v>3.21665311284073</v>
      </c>
      <c r="D113" s="112" t="n">
        <f aca="false">IF(AND(ISNUMBER(D110),ISNUMBER(D111)),IF_FreeShare*(D111/D110)/(1-IF_FreeShare),"SLO 不可達")</f>
        <v>3.21665311284073</v>
      </c>
      <c r="E113" s="112" t="n">
        <f aca="false">IF(AND(ISNUMBER(E110),ISNUMBER(E111)),IF_FreeShare*(E111/E110)/(1-IF_FreeShare),"SLO 不可達")</f>
        <v>3.21665311284073</v>
      </c>
      <c r="F113" s="56" t="s">
        <v>1353</v>
      </c>
      <c r="G113" s="91" t="s">
        <v>1354</v>
      </c>
    </row>
    <row r="114" customFormat="false" ht="29.85" hidden="false" customHeight="false" outlineLevel="0" collapsed="false">
      <c r="A114" s="5" t="s">
        <v>1355</v>
      </c>
      <c r="B114" s="59" t="s">
        <v>97</v>
      </c>
      <c r="C114" s="112" t="n">
        <f aca="false">AL_UtilActual/IF_Util</f>
        <v>0.583333333333333</v>
      </c>
      <c r="D114" s="112" t="n">
        <f aca="false">AL_UtilActual_Hi/IF_Util</f>
        <v>0.666666666666667</v>
      </c>
      <c r="E114" s="112" t="n">
        <f aca="false">AL_UtilActual_Lo/IF_Util</f>
        <v>0.5</v>
      </c>
      <c r="F114" s="56" t="s">
        <v>1283</v>
      </c>
      <c r="G114" s="85" t="s">
        <v>1356</v>
      </c>
    </row>
    <row r="115" customFormat="false" ht="44" hidden="false" customHeight="false" outlineLevel="0" collapsed="false">
      <c r="A115" s="5" t="s">
        <v>1357</v>
      </c>
      <c r="B115" s="59" t="s">
        <v>97</v>
      </c>
      <c r="C115" s="115" t="n">
        <f aca="false">AL_ProdRatioPaid</f>
        <v>0.712307728913032</v>
      </c>
      <c r="D115" s="115" t="n">
        <f aca="false">AL_ProdRatioPaid</f>
        <v>0.712307728913032</v>
      </c>
      <c r="E115" s="115" t="n">
        <f aca="false">AL_ProdRatioPaid</f>
        <v>0.712307728913032</v>
      </c>
      <c r="F115" s="56" t="s">
        <v>141</v>
      </c>
      <c r="G115" s="91" t="s">
        <v>1358</v>
      </c>
    </row>
    <row r="116" customFormat="false" ht="29.85" hidden="false" customHeight="false" outlineLevel="0" collapsed="false">
      <c r="A116" s="5" t="s">
        <v>1359</v>
      </c>
      <c r="B116" s="59" t="s">
        <v>787</v>
      </c>
      <c r="C116" s="65" t="n">
        <f aca="false">IF(AND(ISNUMBER(C110),ISNUMBER(C111),ISNUMBER(C112)),C109*C114/(1/C110+C112/C111),"SLO 不可達")</f>
        <v>8442412251.69907</v>
      </c>
      <c r="D116" s="65" t="n">
        <f aca="false">IF(AND(ISNUMBER(D110),ISNUMBER(D111),ISNUMBER(D112)),D109*D114/(1/D110+D112/D111),"SLO 不可達")</f>
        <v>15051614985.8864</v>
      </c>
      <c r="E116" s="65" t="n">
        <f aca="false">IF(AND(ISNUMBER(E110),ISNUMBER(E111),ISNUMBER(E112)),E109*E114/(1/E110+E112/E111),"SLO 不可達")</f>
        <v>3821699117.51021</v>
      </c>
      <c r="F116" s="56" t="s">
        <v>141</v>
      </c>
      <c r="G116" s="85" t="s">
        <v>1360</v>
      </c>
    </row>
    <row r="117" customFormat="false" ht="15" hidden="false" customHeight="false" outlineLevel="0" collapsed="false">
      <c r="A117" s="5" t="s">
        <v>1361</v>
      </c>
      <c r="B117" s="59" t="s">
        <v>787</v>
      </c>
      <c r="C117" s="65" t="n">
        <f aca="false">IF(AND(ISNUMBER(C110),ISNUMBER(C111),ISNUMBER(C113)),C109*C114/(1/C110+C113/C111),"SLO 不可達")</f>
        <v>5250112796.58281</v>
      </c>
      <c r="D117" s="65" t="n">
        <f aca="false">IF(AND(ISNUMBER(D110),ISNUMBER(D111),ISNUMBER(D113)),D109*D114/(1/D110+D113/D111),"SLO 不可達")</f>
        <v>9360201100.19334</v>
      </c>
      <c r="E117" s="65" t="n">
        <f aca="false">IF(AND(ISNUMBER(E110),ISNUMBER(E111),ISNUMBER(E113)),E109*E114/(1/E110+E113/E111),"SLO 不可達")</f>
        <v>2376613560.59597</v>
      </c>
      <c r="F117" s="56" t="s">
        <v>141</v>
      </c>
      <c r="G117" s="91" t="s">
        <v>1362</v>
      </c>
    </row>
    <row r="118" customFormat="false" ht="41" hidden="false" customHeight="false" outlineLevel="0" collapsed="false">
      <c r="A118" s="5" t="s">
        <v>1363</v>
      </c>
      <c r="B118" s="59" t="s">
        <v>787</v>
      </c>
      <c r="C118" s="68" t="n">
        <f aca="false">IF(AND(ISNUMBER(C110),ISNUMBER(C111),ISNUMBER(C112),ISNUMBER(C115)),C109*C115/(1/C110+C112/C111),"SLO 不可達")</f>
        <v>10309020852.952</v>
      </c>
      <c r="D118" s="65" t="n">
        <f aca="false">IF(AND(ISNUMBER(D110),ISNUMBER(D111),ISNUMBER(D112),ISNUMBER(D115)),D109*D115/(1/D110+D112/D111),"SLO 不可達")</f>
        <v>16082072530.6051</v>
      </c>
      <c r="E118" s="65" t="n">
        <f aca="false">IF(AND(ISNUMBER(E110),ISNUMBER(E111),ISNUMBER(E112),ISNUMBER(E115)),E109*E115/(1/E110+E112/E111),"SLO 不可達")</f>
        <v>5444451637.96527</v>
      </c>
      <c r="F118" s="56" t="s">
        <v>141</v>
      </c>
      <c r="G118" s="85" t="s">
        <v>1364</v>
      </c>
    </row>
    <row r="119" customFormat="false" ht="29.85" hidden="false" customHeight="false" outlineLevel="0" collapsed="false">
      <c r="A119" s="5" t="s">
        <v>1365</v>
      </c>
      <c r="B119" s="59" t="s">
        <v>97</v>
      </c>
      <c r="C119" s="104" t="n">
        <f aca="false">IF(ISNUMBER(C116),SRC_DEM_007*1000000000/(C116*C90),"SLO 不可達")</f>
        <v>0.789593015115665</v>
      </c>
      <c r="D119" s="112" t="n">
        <f aca="false">IF(ISNUMBER(D116),SRC_DEM_007*1000000000/(D116*D90),"SLO 不可達")</f>
        <v>0.442880697580902</v>
      </c>
      <c r="E119" s="112" t="n">
        <f aca="false">IF(ISNUMBER(E116),SRC_DEM_007*1000000000/(E116*E90),"SLO 不可達")</f>
        <v>1.7442685935494</v>
      </c>
      <c r="F119" s="56" t="s">
        <v>141</v>
      </c>
      <c r="G119" s="91" t="s">
        <v>1366</v>
      </c>
    </row>
    <row r="120" customFormat="false" ht="15" hidden="false" customHeight="false" outlineLevel="0" collapsed="false">
      <c r="A120" s="5" t="s">
        <v>1367</v>
      </c>
      <c r="B120" s="59" t="s">
        <v>97</v>
      </c>
      <c r="C120" s="112" t="n">
        <f aca="false">IF(ISNUMBER(C117),SRC_DEM_007*1000000000/(C117*C90),"SLO 不可達")</f>
        <v>1.26970029082181</v>
      </c>
      <c r="D120" s="112" t="n">
        <f aca="false">IF(ISNUMBER(D117),SRC_DEM_007*1000000000/(D117*D90),"SLO 不可達")</f>
        <v>0.712171637480183</v>
      </c>
      <c r="E120" s="112" t="n">
        <f aca="false">IF(ISNUMBER(E117),SRC_DEM_007*1000000000/(E117*E90),"SLO 不可達")</f>
        <v>2.80486060299888</v>
      </c>
      <c r="F120" s="56" t="s">
        <v>141</v>
      </c>
      <c r="G120" s="91"/>
    </row>
    <row r="121" customFormat="false" ht="29.85" hidden="false" customHeight="false" outlineLevel="0" collapsed="false">
      <c r="A121" s="6" t="s">
        <v>1368</v>
      </c>
      <c r="B121" s="59" t="s">
        <v>97</v>
      </c>
      <c r="C121" s="104" t="n">
        <f aca="false">IF(ISNUMBER(C118),SRC_DEM_007*1000000000/(C118*C90),"SLO 不可達")</f>
        <v>0.646624916153863</v>
      </c>
      <c r="D121" s="112" t="n">
        <f aca="false">IF(ISNUMBER(D118),SRC_DEM_007*1000000000/(D118*D90),"SLO 不可達")</f>
        <v>0.414503151380682</v>
      </c>
      <c r="E121" s="112" t="n">
        <f aca="false">IF(ISNUMBER(E118),SRC_DEM_007*1000000000/(E118*E90),"SLO 不可達")</f>
        <v>1.22437853946294</v>
      </c>
      <c r="F121" s="56" t="s">
        <v>141</v>
      </c>
      <c r="G121" s="85" t="s">
        <v>1369</v>
      </c>
    </row>
    <row r="122" customFormat="false" ht="15" hidden="false" customHeight="false" outlineLevel="0" collapsed="false">
      <c r="A122" s="57" t="s">
        <v>1370</v>
      </c>
    </row>
    <row r="123" customFormat="false" ht="15" hidden="false" customHeight="false" outlineLevel="0" collapsed="false">
      <c r="A123" s="6" t="s">
        <v>1371</v>
      </c>
      <c r="B123" s="59" t="s">
        <v>787</v>
      </c>
      <c r="C123" s="65" t="n">
        <f aca="false">SRC_DEM_007*1000000000/(1*C90)</f>
        <v>6666069744.66851</v>
      </c>
      <c r="D123" s="74" t="n">
        <f aca="false">C123/AL_DPaid</f>
        <v>1.74267221182383</v>
      </c>
      <c r="E123" s="65" t="str">
        <f aca="false">IF(ISNUMBER(C118),IF(C123&lt;=C118,"低於上限（m＝1 未被排除）","高於上限（m＝1 被物理上限排除）"),"SLO 不可達")</f>
        <v>低於上限（m＝1 未被排除）</v>
      </c>
      <c r="F123" s="56" t="s">
        <v>141</v>
      </c>
      <c r="G123" s="85" t="s">
        <v>1372</v>
      </c>
    </row>
    <row r="124" customFormat="false" ht="15" hidden="false" customHeight="false" outlineLevel="0" collapsed="false">
      <c r="A124" s="6" t="s">
        <v>1373</v>
      </c>
      <c r="B124" s="59" t="s">
        <v>787</v>
      </c>
      <c r="C124" s="65" t="n">
        <f aca="false">SRC_DEM_007*1000000000/(0.6*C90)</f>
        <v>11110116241.1142</v>
      </c>
      <c r="D124" s="74" t="n">
        <f aca="false">C124/AL_DPaid</f>
        <v>2.90445368637305</v>
      </c>
      <c r="E124" s="65" t="str">
        <f aca="false">IF(ISNUMBER(C118),IF(C124&lt;=C118,"低於上限（m＝0.6 未被排除）","高於上限（m＝0.6 被物理上限排除）"),"SLO 不可達")</f>
        <v>高於上限（m＝0.6 被物理上限排除）</v>
      </c>
      <c r="F124" s="56" t="s">
        <v>141</v>
      </c>
      <c r="G124" s="85" t="s">
        <v>1372</v>
      </c>
    </row>
    <row r="125" customFormat="false" ht="15" hidden="false" customHeight="false" outlineLevel="0" collapsed="false">
      <c r="A125" s="6" t="s">
        <v>1374</v>
      </c>
      <c r="B125" s="59" t="s">
        <v>787</v>
      </c>
      <c r="C125" s="65" t="n">
        <f aca="false">SRC_DEM_007*1000000000/(0.3*C90)</f>
        <v>22220232482.2283</v>
      </c>
      <c r="D125" s="74" t="n">
        <f aca="false">C125/AL_DPaid</f>
        <v>5.80890737274609</v>
      </c>
      <c r="E125" s="65" t="str">
        <f aca="false">IF(ISNUMBER(C118),IF(C125&lt;=C118,"低於上限（m＝0.3 未被排除）","高於上限（m＝0.3 被物理上限排除）"),"SLO 不可達")</f>
        <v>高於上限（m＝0.3 被物理上限排除）</v>
      </c>
      <c r="F125" s="56" t="s">
        <v>141</v>
      </c>
      <c r="G125" s="85" t="s">
        <v>1372</v>
      </c>
    </row>
    <row r="126" customFormat="false" ht="15" hidden="false" customHeight="false" outlineLevel="0" collapsed="false">
      <c r="A126" s="57" t="s">
        <v>1375</v>
      </c>
    </row>
    <row r="127" customFormat="false" ht="39.55" hidden="false" customHeight="false" outlineLevel="0" collapsed="false">
      <c r="A127" s="5" t="s">
        <v>1376</v>
      </c>
      <c r="B127" s="59" t="s">
        <v>93</v>
      </c>
      <c r="C127" s="148" t="n">
        <v>0.1</v>
      </c>
      <c r="D127" s="148" t="n">
        <v>0.2</v>
      </c>
      <c r="E127" s="148" t="n">
        <v>0.05</v>
      </c>
      <c r="F127" s="56" t="s">
        <v>94</v>
      </c>
      <c r="G127" s="91" t="s">
        <v>1377</v>
      </c>
    </row>
    <row r="128" customFormat="false" ht="15" hidden="false" customHeight="false" outlineLevel="0" collapsed="false">
      <c r="A128" s="5" t="s">
        <v>1378</v>
      </c>
      <c r="B128" s="59" t="s">
        <v>97</v>
      </c>
      <c r="C128" s="112" t="n">
        <f aca="false">C72*(1-C127)*1000000000/(C81*C90)</f>
        <v>2.87645475283641</v>
      </c>
      <c r="D128" s="112" t="n">
        <f aca="false">D72*(1-D127)*1000000000/(D81*D90)</f>
        <v>0.541997684224561</v>
      </c>
      <c r="E128" s="112" t="n">
        <f aca="false">E72*(1-E127)*1000000000/(E81*E90)</f>
        <v>14.2270365235528</v>
      </c>
      <c r="F128" s="56" t="s">
        <v>141</v>
      </c>
      <c r="G128" s="85" t="s">
        <v>1379</v>
      </c>
    </row>
    <row r="129" customFormat="false" ht="15" hidden="false" customHeight="false" outlineLevel="0" collapsed="false">
      <c r="A129" s="5" t="s">
        <v>1380</v>
      </c>
      <c r="B129" s="59" t="s">
        <v>97</v>
      </c>
      <c r="C129" s="112" t="n">
        <f aca="false">(C72*(1-C127)+C73)*1000000000/(C83*C90)</f>
        <v>1.62068515699616</v>
      </c>
      <c r="D129" s="112" t="n">
        <f aca="false">(D72*(1-D127)+D73)*1000000000/(D83*D90)</f>
        <v>0.503803701190053</v>
      </c>
      <c r="E129" s="112" t="n">
        <f aca="false">(E72*(1-E127)+E73)*1000000000/(E83*E90)</f>
        <v>3.44623852948495</v>
      </c>
      <c r="F129" s="56" t="s">
        <v>141</v>
      </c>
      <c r="G129" s="85" t="s">
        <v>1381</v>
      </c>
    </row>
    <row r="130" customFormat="false" ht="15" hidden="false" customHeight="false" outlineLevel="0" collapsed="false">
      <c r="A130" s="10" t="s">
        <v>1382</v>
      </c>
    </row>
    <row r="131" customFormat="false" ht="39.55" hidden="false" customHeight="false" outlineLevel="0" collapsed="false">
      <c r="A131" s="6" t="s">
        <v>1383</v>
      </c>
      <c r="B131" s="59" t="s">
        <v>93</v>
      </c>
      <c r="C131" s="148" t="n">
        <v>0.1</v>
      </c>
      <c r="D131" s="148" t="n">
        <v>0.05</v>
      </c>
      <c r="E131" s="148" t="n">
        <v>0.15</v>
      </c>
      <c r="F131" s="56" t="s">
        <v>94</v>
      </c>
      <c r="G131" s="91" t="s">
        <v>1384</v>
      </c>
    </row>
    <row r="132" customFormat="false" ht="29.85" hidden="false" customHeight="false" outlineLevel="0" collapsed="false">
      <c r="A132" s="5" t="s">
        <v>1385</v>
      </c>
      <c r="B132" s="59" t="s">
        <v>93</v>
      </c>
      <c r="C132" s="148" t="n">
        <v>0.75</v>
      </c>
      <c r="D132" s="148" t="n">
        <v>0.9</v>
      </c>
      <c r="E132" s="148" t="n">
        <v>0.6</v>
      </c>
      <c r="F132" s="56" t="s">
        <v>94</v>
      </c>
      <c r="G132" s="91" t="s">
        <v>1386</v>
      </c>
    </row>
    <row r="133" customFormat="false" ht="29.85" hidden="false" customHeight="false" outlineLevel="0" collapsed="false">
      <c r="A133" s="6" t="s">
        <v>1387</v>
      </c>
      <c r="B133" s="59" t="s">
        <v>867</v>
      </c>
      <c r="C133" s="147" t="n">
        <v>0.5</v>
      </c>
      <c r="D133" s="147" t="n">
        <v>0</v>
      </c>
      <c r="E133" s="147" t="n">
        <v>1</v>
      </c>
      <c r="F133" s="56" t="s">
        <v>94</v>
      </c>
      <c r="G133" s="91" t="s">
        <v>1388</v>
      </c>
    </row>
    <row r="134" customFormat="false" ht="15" hidden="false" customHeight="false" outlineLevel="0" collapsed="false">
      <c r="A134" s="10" t="s">
        <v>1389</v>
      </c>
    </row>
    <row r="135" customFormat="false" ht="15" hidden="false" customHeight="false" outlineLevel="0" collapsed="false">
      <c r="A135" s="5" t="s">
        <v>1390</v>
      </c>
      <c r="B135" s="59" t="s">
        <v>867</v>
      </c>
      <c r="C135" s="113" t="n">
        <f aca="false">C69*C70</f>
        <v>9.149</v>
      </c>
      <c r="D135" s="113" t="n">
        <f aca="false">D69*D70</f>
        <v>8</v>
      </c>
      <c r="E135" s="113" t="n">
        <f aca="false">E69*E70</f>
        <v>10.7174</v>
      </c>
      <c r="F135" s="56" t="s">
        <v>141</v>
      </c>
      <c r="G135" s="91" t="s">
        <v>1391</v>
      </c>
    </row>
    <row r="136" customFormat="false" ht="15" hidden="false" customHeight="false" outlineLevel="0" collapsed="false">
      <c r="A136" s="5" t="s">
        <v>1392</v>
      </c>
      <c r="B136" s="59" t="s">
        <v>867</v>
      </c>
      <c r="C136" s="113" t="n">
        <f aca="false">C69*C131</f>
        <v>1.307</v>
      </c>
      <c r="D136" s="113" t="n">
        <f aca="false">D69*D131</f>
        <v>0.6535</v>
      </c>
      <c r="E136" s="113" t="n">
        <f aca="false">E69*E131</f>
        <v>1.9605</v>
      </c>
      <c r="F136" s="56" t="s">
        <v>141</v>
      </c>
      <c r="G136" s="91"/>
    </row>
    <row r="137" customFormat="false" ht="26.85" hidden="false" customHeight="false" outlineLevel="0" collapsed="false">
      <c r="A137" s="6" t="s">
        <v>1393</v>
      </c>
      <c r="B137" s="59" t="s">
        <v>867</v>
      </c>
      <c r="C137" s="113" t="n">
        <f aca="false">C69-C135-C136</f>
        <v>2.614</v>
      </c>
      <c r="D137" s="113" t="n">
        <f aca="false">D69-D135-D136</f>
        <v>4.4165</v>
      </c>
      <c r="E137" s="113" t="n">
        <f aca="false">E69-E135-E136</f>
        <v>0.392100000000001</v>
      </c>
      <c r="F137" s="56" t="s">
        <v>141</v>
      </c>
      <c r="G137" s="91" t="s">
        <v>1394</v>
      </c>
    </row>
    <row r="138" customFormat="false" ht="15" hidden="false" customHeight="false" outlineLevel="0" collapsed="false">
      <c r="A138" s="6" t="s">
        <v>1395</v>
      </c>
      <c r="B138" s="59" t="s">
        <v>93</v>
      </c>
      <c r="C138" s="101" t="n">
        <f aca="false">C137/C69</f>
        <v>0.2</v>
      </c>
      <c r="D138" s="101" t="n">
        <f aca="false">D137/D69</f>
        <v>0.337911247130834</v>
      </c>
      <c r="E138" s="101" t="n">
        <f aca="false">E137/E69</f>
        <v>0.0300000000000001</v>
      </c>
      <c r="F138" s="56" t="s">
        <v>141</v>
      </c>
      <c r="G138" s="91" t="s">
        <v>1396</v>
      </c>
    </row>
    <row r="139" customFormat="false" ht="15" hidden="false" customHeight="false" outlineLevel="0" collapsed="false">
      <c r="A139" s="10" t="s">
        <v>1397</v>
      </c>
    </row>
    <row r="140" customFormat="false" ht="15" hidden="false" customHeight="false" outlineLevel="0" collapsed="false">
      <c r="A140" s="6" t="s">
        <v>1398</v>
      </c>
      <c r="B140" s="59" t="s">
        <v>787</v>
      </c>
      <c r="C140" s="65" t="n">
        <f aca="false">C82</f>
        <v>2365200000</v>
      </c>
      <c r="D140" s="65" t="n">
        <f aca="false">D82</f>
        <v>2838240000</v>
      </c>
      <c r="E140" s="65" t="n">
        <f aca="false">E82</f>
        <v>1892160000</v>
      </c>
      <c r="F140" s="56" t="s">
        <v>1283</v>
      </c>
      <c r="G140" s="85" t="s">
        <v>1399</v>
      </c>
    </row>
    <row r="141" customFormat="false" ht="29.85" hidden="false" customHeight="false" outlineLevel="0" collapsed="false">
      <c r="A141" s="5" t="s">
        <v>1400</v>
      </c>
      <c r="B141" s="59" t="s">
        <v>787</v>
      </c>
      <c r="C141" s="65" t="n">
        <f aca="false">C81*C132</f>
        <v>1095000000</v>
      </c>
      <c r="D141" s="65" t="n">
        <f aca="false">D81*D132</f>
        <v>5420250000</v>
      </c>
      <c r="E141" s="65" t="n">
        <f aca="false">E81*E132</f>
        <v>219000000</v>
      </c>
      <c r="F141" s="56" t="s">
        <v>1283</v>
      </c>
      <c r="G141" s="91"/>
    </row>
    <row r="142" customFormat="false" ht="29.85" hidden="false" customHeight="false" outlineLevel="0" collapsed="false">
      <c r="A142" s="5" t="s">
        <v>1401</v>
      </c>
      <c r="B142" s="59" t="s">
        <v>787</v>
      </c>
      <c r="C142" s="65" t="n">
        <f aca="false">C81*(1-C132)</f>
        <v>365000000</v>
      </c>
      <c r="D142" s="65" t="n">
        <f aca="false">D81*(1-D132)</f>
        <v>602250000</v>
      </c>
      <c r="E142" s="65" t="n">
        <f aca="false">E81*(1-E132)</f>
        <v>146000000</v>
      </c>
      <c r="F142" s="56" t="s">
        <v>1283</v>
      </c>
      <c r="G142" s="91"/>
    </row>
    <row r="143" customFormat="false" ht="15" hidden="false" customHeight="false" outlineLevel="0" collapsed="false">
      <c r="A143" s="10" t="s">
        <v>1402</v>
      </c>
    </row>
    <row r="144" customFormat="false" ht="15" hidden="false" customHeight="false" outlineLevel="0" collapsed="false">
      <c r="A144" s="6" t="s">
        <v>1403</v>
      </c>
      <c r="B144" s="59" t="s">
        <v>97</v>
      </c>
      <c r="C144" s="104" t="n">
        <f aca="false">C137*1000000000/(C140*C90)</f>
        <v>0.56367915987388</v>
      </c>
      <c r="D144" s="112" t="n">
        <f aca="false">D137*1000000000/(D140*D90)</f>
        <v>0.793639699561015</v>
      </c>
      <c r="E144" s="112" t="n">
        <f aca="false">E137*1000000000/(E140*E90)</f>
        <v>0.105689842476353</v>
      </c>
      <c r="F144" s="56" t="s">
        <v>141</v>
      </c>
      <c r="G144" s="91" t="s">
        <v>1404</v>
      </c>
    </row>
    <row r="145" customFormat="false" ht="15" hidden="false" customHeight="false" outlineLevel="0" collapsed="false">
      <c r="A145" s="6" t="s">
        <v>1405</v>
      </c>
      <c r="B145" s="59" t="s">
        <v>97</v>
      </c>
      <c r="C145" s="104" t="n">
        <f aca="false">C135*1000000000/(C141*C90)</f>
        <v>4.26141444864653</v>
      </c>
      <c r="D145" s="112" t="n">
        <f aca="false">D135*1000000000/(D141*D90)</f>
        <v>0.752774561423002</v>
      </c>
      <c r="E145" s="112" t="n">
        <f aca="false">E135*1000000000/(E141*E90)</f>
        <v>24.9597131992154</v>
      </c>
      <c r="F145" s="56" t="s">
        <v>141</v>
      </c>
      <c r="G145" s="85" t="s">
        <v>1406</v>
      </c>
    </row>
    <row r="146" customFormat="false" ht="15" hidden="false" customHeight="false" outlineLevel="0" collapsed="false">
      <c r="A146" s="6" t="s">
        <v>1407</v>
      </c>
      <c r="B146" s="59" t="s">
        <v>97</v>
      </c>
      <c r="C146" s="104" t="n">
        <f aca="false">C136*1000000000/(C142*C90)</f>
        <v>1.82632047799137</v>
      </c>
      <c r="D146" s="112" t="n">
        <f aca="false">D136*1000000000/(D142*D90)</f>
        <v>0.553430447876173</v>
      </c>
      <c r="E146" s="112" t="n">
        <f aca="false">E136*1000000000/(E142*E90)</f>
        <v>6.84870179246764</v>
      </c>
      <c r="F146" s="56" t="s">
        <v>141</v>
      </c>
      <c r="G146" s="91" t="s">
        <v>1408</v>
      </c>
    </row>
    <row r="147" customFormat="false" ht="15" hidden="false" customHeight="false" outlineLevel="0" collapsed="false">
      <c r="A147" s="6" t="s">
        <v>1409</v>
      </c>
      <c r="B147" s="59" t="s">
        <v>97</v>
      </c>
      <c r="C147" s="104" t="n">
        <f aca="false">(C135+C136+C137)*1000000000/((C140+C141+C142)*C90)</f>
        <v>1.74267221182383</v>
      </c>
      <c r="D147" s="112" t="n">
        <f aca="false">(D135+D136+D137)*1000000000/((D140+D141+D142)*D90)</f>
        <v>0.752315240563261</v>
      </c>
      <c r="E147" s="112" t="n">
        <f aca="false">(E135+E136+E137)*1000000000/((E140+E141+E142)*E90)</f>
        <v>2.95329960865358</v>
      </c>
      <c r="F147" s="56" t="s">
        <v>141</v>
      </c>
      <c r="G147" s="91" t="s">
        <v>1410</v>
      </c>
    </row>
    <row r="148" customFormat="false" ht="29.85" hidden="false" customHeight="false" outlineLevel="0" collapsed="false">
      <c r="A148" s="5" t="s">
        <v>1411</v>
      </c>
      <c r="B148" s="59" t="s">
        <v>97</v>
      </c>
      <c r="C148" s="112" t="n">
        <f aca="false">ABS(C147-C94)</f>
        <v>0</v>
      </c>
      <c r="D148" s="112" t="n">
        <f aca="false">ABS(D147-D94)</f>
        <v>0</v>
      </c>
      <c r="E148" s="112" t="n">
        <f aca="false">ABS(E147-E94)</f>
        <v>0</v>
      </c>
      <c r="F148" s="56" t="s">
        <v>141</v>
      </c>
      <c r="G148" s="91" t="s">
        <v>1412</v>
      </c>
    </row>
    <row r="149" customFormat="false" ht="15" hidden="false" customHeight="false" outlineLevel="0" collapsed="false">
      <c r="A149" s="10" t="s">
        <v>1413</v>
      </c>
    </row>
    <row r="150" customFormat="false" ht="26.85" hidden="false" customHeight="false" outlineLevel="0" collapsed="false">
      <c r="A150" s="5" t="s">
        <v>1414</v>
      </c>
      <c r="B150" s="59" t="s">
        <v>97</v>
      </c>
      <c r="C150" s="112" t="n">
        <f aca="false">(1-B4_Disc)/(1-B4_Disc)</f>
        <v>1</v>
      </c>
      <c r="D150" s="112" t="n">
        <f aca="false">(1-B4_Disc_Hi)/(1-B4_Disc)</f>
        <v>0.75</v>
      </c>
      <c r="E150" s="112" t="n">
        <f aca="false">(1-B4_Disc_Lo)/(1-B4_Disc)</f>
        <v>1.125</v>
      </c>
      <c r="F150" s="56" t="s">
        <v>1283</v>
      </c>
      <c r="G150" s="91" t="s">
        <v>1415</v>
      </c>
    </row>
    <row r="151" customFormat="false" ht="26.85" hidden="false" customHeight="false" outlineLevel="0" collapsed="false">
      <c r="A151" s="5" t="s">
        <v>1416</v>
      </c>
      <c r="B151" s="59" t="s">
        <v>97</v>
      </c>
      <c r="C151" s="104" t="n">
        <f aca="false">C144/C150</f>
        <v>0.56367915987388</v>
      </c>
      <c r="D151" s="112" t="n">
        <f aca="false">D144/D150</f>
        <v>1.05818626608135</v>
      </c>
      <c r="E151" s="112" t="n">
        <f aca="false">E144/E150</f>
        <v>0.0939465266456468</v>
      </c>
      <c r="F151" s="56" t="s">
        <v>141</v>
      </c>
      <c r="G151" s="85" t="s">
        <v>1417</v>
      </c>
    </row>
    <row r="152" customFormat="false" ht="29.85" hidden="false" customHeight="false" outlineLevel="0" collapsed="false">
      <c r="A152" s="5" t="s">
        <v>1418</v>
      </c>
      <c r="B152" s="59" t="s">
        <v>97</v>
      </c>
      <c r="C152" s="112" t="n">
        <f aca="false">C107</f>
        <v>0.196163661504425</v>
      </c>
      <c r="D152" s="112" t="n">
        <f aca="false">D107</f>
        <v>0.112163306415929</v>
      </c>
      <c r="E152" s="112" t="n">
        <f aca="false">E107</f>
        <v>0.196163661504425</v>
      </c>
      <c r="F152" s="56" t="s">
        <v>141</v>
      </c>
      <c r="G152" s="85" t="s">
        <v>1419</v>
      </c>
    </row>
    <row r="153" customFormat="false" ht="15" hidden="false" customHeight="false" outlineLevel="0" collapsed="false">
      <c r="A153" s="10" t="s">
        <v>1420</v>
      </c>
    </row>
    <row r="154" customFormat="false" ht="15" hidden="false" customHeight="false" outlineLevel="0" collapsed="false">
      <c r="A154" s="5" t="s">
        <v>1421</v>
      </c>
      <c r="B154" s="59" t="s">
        <v>1328</v>
      </c>
      <c r="C154" s="61" t="n">
        <v>20</v>
      </c>
      <c r="D154" s="65" t="n">
        <f aca="false">C154</f>
        <v>20</v>
      </c>
      <c r="E154" s="65" t="n">
        <f aca="false">C154</f>
        <v>20</v>
      </c>
      <c r="F154" s="56" t="s">
        <v>94</v>
      </c>
      <c r="G154" s="91" t="s">
        <v>1422</v>
      </c>
    </row>
    <row r="155" customFormat="false" ht="29.85" hidden="false" customHeight="false" outlineLevel="0" collapsed="false">
      <c r="A155" s="5" t="s">
        <v>1423</v>
      </c>
      <c r="B155" s="59" t="s">
        <v>1328</v>
      </c>
      <c r="C155" s="61" t="n">
        <v>700</v>
      </c>
      <c r="D155" s="65" t="n">
        <f aca="false">C155</f>
        <v>700</v>
      </c>
      <c r="E155" s="65" t="n">
        <f aca="false">C155</f>
        <v>700</v>
      </c>
      <c r="F155" s="56" t="s">
        <v>94</v>
      </c>
      <c r="G155" s="91" t="s">
        <v>1424</v>
      </c>
    </row>
    <row r="156" customFormat="false" ht="15" hidden="false" customHeight="false" outlineLevel="0" collapsed="false">
      <c r="A156" s="5" t="s">
        <v>1425</v>
      </c>
      <c r="B156" s="59" t="s">
        <v>1328</v>
      </c>
      <c r="C156" s="61" t="n">
        <v>200</v>
      </c>
      <c r="D156" s="65" t="n">
        <f aca="false">C156</f>
        <v>200</v>
      </c>
      <c r="E156" s="65" t="n">
        <f aca="false">C156</f>
        <v>200</v>
      </c>
      <c r="F156" s="56" t="s">
        <v>94</v>
      </c>
      <c r="G156" s="91" t="s">
        <v>1426</v>
      </c>
    </row>
    <row r="157" customFormat="false" ht="29.85" hidden="false" customHeight="false" outlineLevel="0" collapsed="false">
      <c r="A157" s="5" t="s">
        <v>1427</v>
      </c>
      <c r="B157" s="59" t="s">
        <v>1328</v>
      </c>
      <c r="C157" s="61" t="n">
        <v>14000</v>
      </c>
      <c r="D157" s="65" t="n">
        <f aca="false">C157</f>
        <v>14000</v>
      </c>
      <c r="E157" s="65" t="n">
        <f aca="false">C157</f>
        <v>14000</v>
      </c>
      <c r="F157" s="56" t="s">
        <v>94</v>
      </c>
      <c r="G157" s="91" t="s">
        <v>1428</v>
      </c>
    </row>
    <row r="158" customFormat="false" ht="29.85" hidden="false" customHeight="false" outlineLevel="0" collapsed="false">
      <c r="A158" s="5" t="s">
        <v>1429</v>
      </c>
      <c r="B158" s="59" t="s">
        <v>97</v>
      </c>
      <c r="C158" s="112" t="n">
        <f aca="false">C154/C155</f>
        <v>0.0285714285714286</v>
      </c>
      <c r="D158" s="112" t="n">
        <f aca="false">D154/D155</f>
        <v>0.0285714285714286</v>
      </c>
      <c r="E158" s="112" t="n">
        <f aca="false">E154/E155</f>
        <v>0.0285714285714286</v>
      </c>
      <c r="F158" s="56" t="s">
        <v>98</v>
      </c>
      <c r="G158" s="85" t="s">
        <v>1430</v>
      </c>
    </row>
    <row r="159" customFormat="false" ht="29.85" hidden="false" customHeight="false" outlineLevel="0" collapsed="false">
      <c r="A159" s="5" t="s">
        <v>1431</v>
      </c>
      <c r="B159" s="59" t="s">
        <v>97</v>
      </c>
      <c r="C159" s="112" t="n">
        <f aca="false">C156/C157</f>
        <v>0.0142857142857143</v>
      </c>
      <c r="D159" s="112" t="n">
        <f aca="false">D156/D157</f>
        <v>0.0142857142857143</v>
      </c>
      <c r="E159" s="112" t="n">
        <f aca="false">E156/E157</f>
        <v>0.0142857142857143</v>
      </c>
      <c r="F159" s="56" t="s">
        <v>98</v>
      </c>
      <c r="G159" s="85" t="s">
        <v>1432</v>
      </c>
    </row>
    <row r="160" customFormat="false" ht="15" hidden="false" customHeight="false" outlineLevel="0" collapsed="false">
      <c r="A160" s="10" t="s">
        <v>1433</v>
      </c>
    </row>
    <row r="161" customFormat="false" ht="29.85" hidden="false" customHeight="false" outlineLevel="0" collapsed="false">
      <c r="A161" s="5" t="s">
        <v>1434</v>
      </c>
      <c r="B161" s="59" t="s">
        <v>1435</v>
      </c>
      <c r="C161" s="65" t="n">
        <f aca="false">C135*1000000000/(C79*1000000)</f>
        <v>279.358778625954</v>
      </c>
      <c r="D161" s="65" t="n">
        <f aca="false">D135*1000000000/(D79*1000000)</f>
        <v>244.274809160305</v>
      </c>
      <c r="E161" s="65" t="n">
        <f aca="false">E135*1000000000/(E79*1000000)</f>
        <v>327.248854961832</v>
      </c>
      <c r="F161" s="56" t="s">
        <v>141</v>
      </c>
      <c r="G161" s="91" t="s">
        <v>1436</v>
      </c>
    </row>
    <row r="162" customFormat="false" ht="15" hidden="false" customHeight="false" outlineLevel="0" collapsed="false">
      <c r="A162" s="6" t="s">
        <v>1437</v>
      </c>
      <c r="B162" s="59" t="s">
        <v>1290</v>
      </c>
      <c r="C162" s="72" t="n">
        <f aca="false">C161/C90</f>
        <v>142.480880038716</v>
      </c>
      <c r="D162" s="72" t="n">
        <f aca="false">D161/D90</f>
        <v>124.587063100856</v>
      </c>
      <c r="E162" s="72" t="n">
        <f aca="false">E161/E90</f>
        <v>166.906173759639</v>
      </c>
      <c r="F162" s="56" t="s">
        <v>141</v>
      </c>
      <c r="G162" s="85" t="s">
        <v>1438</v>
      </c>
    </row>
    <row r="163" customFormat="false" ht="29.85" hidden="false" customHeight="false" outlineLevel="0" collapsed="false">
      <c r="A163" s="5" t="s">
        <v>1439</v>
      </c>
      <c r="B163" s="59" t="s">
        <v>1290</v>
      </c>
      <c r="C163" s="72" t="n">
        <f aca="false">C155*12/C90</f>
        <v>4284.23763238068</v>
      </c>
      <c r="D163" s="72" t="n">
        <f aca="false">D155*12/D90</f>
        <v>4284.23763238068</v>
      </c>
      <c r="E163" s="72" t="n">
        <f aca="false">E155*12/E90</f>
        <v>4284.23763238068</v>
      </c>
      <c r="F163" s="56" t="s">
        <v>98</v>
      </c>
      <c r="G163" s="85" t="s">
        <v>1440</v>
      </c>
    </row>
    <row r="164" customFormat="false" ht="29.85" hidden="false" customHeight="false" outlineLevel="0" collapsed="false">
      <c r="A164" s="5" t="s">
        <v>1441</v>
      </c>
      <c r="B164" s="59" t="s">
        <v>1290</v>
      </c>
      <c r="C164" s="72" t="n">
        <f aca="false">C84</f>
        <v>44.5801526717557</v>
      </c>
      <c r="D164" s="72" t="n">
        <f aca="false">D84</f>
        <v>183.893129770992</v>
      </c>
      <c r="E164" s="72" t="n">
        <f aca="false">E84</f>
        <v>11.1450381679389</v>
      </c>
      <c r="F164" s="56" t="s">
        <v>141</v>
      </c>
      <c r="G164" s="91" t="s">
        <v>1442</v>
      </c>
    </row>
    <row r="165" customFormat="false" ht="15" hidden="false" customHeight="false" outlineLevel="0" collapsed="false">
      <c r="A165" s="5" t="s">
        <v>1443</v>
      </c>
      <c r="B165" s="59" t="s">
        <v>97</v>
      </c>
      <c r="C165" s="112" t="str">
        <f aca="false">"所需＝現值 × "&amp;TEXT(C162/C164,"0.00")&amp;"；＝Plus 上限 × "&amp;TEXT(C162/C163,"0.00")</f>
        <v>所需＝現值 × 3.20；＝Plus 上限 × 0.03</v>
      </c>
      <c r="D165" s="112" t="str">
        <f aca="false">"所需＝現值 × "&amp;TEXT(D162/D164,"0.00")&amp;"；＝Plus 上限 × "&amp;TEXT(D162/D163,"0.00")</f>
        <v>所需＝現值 × 0.68；＝Plus 上限 × 0.03</v>
      </c>
      <c r="E165" s="112" t="str">
        <f aca="false">"所需＝現值 × "&amp;TEXT(E162/E164,"0.00")&amp;"；＝Plus 上限 × "&amp;TEXT(E162/E163,"0.00")</f>
        <v>所需＝現值 × 14.98；＝Plus 上限 × 0.04</v>
      </c>
      <c r="F165" s="56" t="s">
        <v>141</v>
      </c>
      <c r="G165" s="91" t="s">
        <v>1444</v>
      </c>
    </row>
    <row r="166" customFormat="false" ht="15" hidden="false" customHeight="false" outlineLevel="0" collapsed="false">
      <c r="A166" s="10" t="s">
        <v>1445</v>
      </c>
    </row>
    <row r="167" customFormat="false" ht="29.85" hidden="false" customHeight="false" outlineLevel="0" collapsed="false">
      <c r="A167" s="6" t="s">
        <v>1446</v>
      </c>
      <c r="B167" s="59" t="s">
        <v>93</v>
      </c>
      <c r="C167" s="101" t="n">
        <f aca="false">SRC_DEM_034/(SRC_DEM_034+SRC_DEM_035)</f>
        <v>0.828067117018958</v>
      </c>
      <c r="D167" s="101" t="n">
        <f aca="false">SRC_DEM_034/(SRC_DEM_034+SRC_DEM_035)</f>
        <v>0.828067117018958</v>
      </c>
      <c r="E167" s="101" t="n">
        <f aca="false">SRC_DEM_034/(SRC_DEM_034+SRC_DEM_035)</f>
        <v>0.828067117018958</v>
      </c>
      <c r="F167" s="56" t="s">
        <v>1447</v>
      </c>
      <c r="G167" s="85" t="s">
        <v>1448</v>
      </c>
    </row>
    <row r="168" customFormat="false" ht="26.85" hidden="false" customHeight="false" outlineLevel="0" collapsed="false">
      <c r="A168" s="6" t="s">
        <v>1449</v>
      </c>
      <c r="B168" s="59" t="s">
        <v>93</v>
      </c>
      <c r="C168" s="101" t="n">
        <f aca="false">SRC_DEM_037/SRC_DEM_036</f>
        <v>0.1625</v>
      </c>
      <c r="D168" s="101" t="n">
        <f aca="false">SRC_DEM_037/SRC_DEM_036</f>
        <v>0.1625</v>
      </c>
      <c r="E168" s="101" t="n">
        <f aca="false">SRC_DEM_037/SRC_DEM_036</f>
        <v>0.1625</v>
      </c>
      <c r="F168" s="56" t="s">
        <v>1447</v>
      </c>
      <c r="G168" s="85" t="s">
        <v>1450</v>
      </c>
    </row>
    <row r="169" customFormat="false" ht="26.85" hidden="false" customHeight="false" outlineLevel="0" collapsed="false">
      <c r="A169" s="6" t="s">
        <v>1451</v>
      </c>
      <c r="B169" s="59" t="s">
        <v>97</v>
      </c>
      <c r="C169" s="112" t="str">
        <f aca="false">"缺分母（需 Anthropic 年 API token）"</f>
        <v>缺分母（需 Anthropic 年 API token）</v>
      </c>
      <c r="D169" s="112" t="str">
        <f aca="false">"缺分母（需 Anthropic 年 API token）"</f>
        <v>缺分母（需 Anthropic 年 API token）</v>
      </c>
      <c r="E169" s="112" t="str">
        <f aca="false">"缺分母（需 Anthropic 年 API token）"</f>
        <v>缺分母（需 Anthropic 年 API token）</v>
      </c>
      <c r="F169" s="71" t="s">
        <v>1452</v>
      </c>
      <c r="G169" s="91" t="s">
        <v>1453</v>
      </c>
    </row>
    <row r="170" customFormat="false" ht="15" hidden="false" customHeight="false" outlineLevel="0" collapsed="false">
      <c r="A170" s="10" t="s">
        <v>1454</v>
      </c>
    </row>
    <row r="171" customFormat="false" ht="15" hidden="false" customHeight="false" outlineLevel="0" collapsed="false">
      <c r="A171" s="5" t="s">
        <v>1455</v>
      </c>
      <c r="B171" s="59" t="s">
        <v>787</v>
      </c>
      <c r="C171" s="65" t="n">
        <f aca="false">C83</f>
        <v>3825200000</v>
      </c>
      <c r="D171" s="65" t="n">
        <f aca="false">D83</f>
        <v>8860740000</v>
      </c>
      <c r="E171" s="65" t="n">
        <f aca="false">E83</f>
        <v>2257160000</v>
      </c>
      <c r="F171" s="56" t="s">
        <v>1283</v>
      </c>
      <c r="G171" s="85" t="s">
        <v>1456</v>
      </c>
    </row>
    <row r="172" customFormat="false" ht="15" hidden="false" customHeight="false" outlineLevel="0" collapsed="false">
      <c r="A172" s="5" t="s">
        <v>1457</v>
      </c>
      <c r="B172" s="59" t="s">
        <v>787</v>
      </c>
      <c r="C172" s="65" t="n">
        <f aca="false">C116</f>
        <v>8442412251.69907</v>
      </c>
      <c r="D172" s="65" t="n">
        <f aca="false">D116</f>
        <v>15051614985.8864</v>
      </c>
      <c r="E172" s="65" t="n">
        <f aca="false">E116</f>
        <v>3821699117.51021</v>
      </c>
      <c r="F172" s="56" t="s">
        <v>141</v>
      </c>
      <c r="G172" s="85" t="s">
        <v>1458</v>
      </c>
    </row>
    <row r="173" customFormat="false" ht="29.85" hidden="false" customHeight="false" outlineLevel="0" collapsed="false">
      <c r="A173" s="5" t="s">
        <v>1459</v>
      </c>
      <c r="B173" s="59" t="s">
        <v>787</v>
      </c>
      <c r="C173" s="65" t="n">
        <f aca="false">C118</f>
        <v>10309020852.952</v>
      </c>
      <c r="D173" s="65" t="n">
        <f aca="false">D118</f>
        <v>16082072530.6051</v>
      </c>
      <c r="E173" s="65" t="n">
        <f aca="false">E118</f>
        <v>5444451637.96527</v>
      </c>
      <c r="F173" s="56" t="s">
        <v>141</v>
      </c>
      <c r="G173" s="85" t="s">
        <v>1460</v>
      </c>
    </row>
    <row r="174" customFormat="false" ht="29.85" hidden="false" customHeight="false" outlineLevel="0" collapsed="false">
      <c r="A174" s="5" t="s">
        <v>1461</v>
      </c>
      <c r="B174" s="59" t="s">
        <v>97</v>
      </c>
      <c r="C174" s="112" t="n">
        <f aca="false">IF(ISNUMBER(C172),C171/C172,"SLO 不可達")</f>
        <v>0.453093249412235</v>
      </c>
      <c r="D174" s="112" t="n">
        <f aca="false">IF(ISNUMBER(D172),D171/D172,"SLO 不可達")</f>
        <v>0.588690317172514</v>
      </c>
      <c r="E174" s="112" t="n">
        <f aca="false">IF(ISNUMBER(E172),E171/E172,"SLO 不可達")</f>
        <v>0.590616877623405</v>
      </c>
      <c r="F174" s="56" t="s">
        <v>141</v>
      </c>
      <c r="G174" s="91" t="s">
        <v>1462</v>
      </c>
    </row>
    <row r="175" customFormat="false" ht="15" hidden="false" customHeight="false" outlineLevel="0" collapsed="false">
      <c r="A175" s="5" t="s">
        <v>1463</v>
      </c>
      <c r="B175" s="59" t="s">
        <v>97</v>
      </c>
      <c r="C175" s="112" t="n">
        <f aca="false">IF(ISNUMBER(C173),C171/C173,"SLO 不可達")</f>
        <v>0.371053667905294</v>
      </c>
      <c r="D175" s="112" t="n">
        <f aca="false">IF(ISNUMBER(D173),D171/D173,"SLO 不可達")</f>
        <v>0.5509700309545</v>
      </c>
      <c r="E175" s="112" t="n">
        <f aca="false">IF(ISNUMBER(E173),E171/E173,"SLO 不可達")</f>
        <v>0.414579860395924</v>
      </c>
      <c r="F175" s="56" t="s">
        <v>141</v>
      </c>
      <c r="G175" s="91" t="s">
        <v>1464</v>
      </c>
    </row>
    <row r="176" customFormat="false" ht="15" hidden="false" customHeight="false" outlineLevel="0" collapsed="false">
      <c r="A176" s="57" t="s">
        <v>1465</v>
      </c>
    </row>
    <row r="177" customFormat="false" ht="29.85" hidden="false" customHeight="false" outlineLevel="0" collapsed="false">
      <c r="A177" s="6" t="s">
        <v>1466</v>
      </c>
      <c r="B177" s="59" t="s">
        <v>85</v>
      </c>
      <c r="C177" s="70" t="n">
        <f aca="false">C109*C114</f>
        <v>0.402991871611063</v>
      </c>
      <c r="D177" s="70" t="n">
        <f aca="false">D109*D114</f>
        <v>0.718476936815152</v>
      </c>
      <c r="E177" s="70" t="n">
        <f aca="false">E109*E114</f>
        <v>0.182425784738222</v>
      </c>
      <c r="F177" s="56" t="s">
        <v>141</v>
      </c>
      <c r="G177" s="85" t="s">
        <v>1467</v>
      </c>
    </row>
    <row r="178" customFormat="false" ht="44" hidden="false" customHeight="false" outlineLevel="0" collapsed="false">
      <c r="A178" s="6" t="s">
        <v>1468</v>
      </c>
      <c r="B178" s="59" t="s">
        <v>787</v>
      </c>
      <c r="C178" s="65" t="n">
        <f aca="false">IF(AND(ISNUMBER(C110),ISNUMBER(C111)),(C177-C140/C110)/((1-AL_FreeShare)/C110+AL_FreeShare/C111),"SLO 不可達")</f>
        <v>13163880428.3806</v>
      </c>
      <c r="D178" s="65" t="n">
        <f aca="false">IF(AND(ISNUMBER(D110),ISNUMBER(D111)),(D177-D140/D110)/((1-AL_FreeShare)/D110+AL_FreeShare/D111),"SLO 不可達")</f>
        <v>25935922774.7325</v>
      </c>
      <c r="E178" s="65" t="n">
        <f aca="false">IF(AND(ISNUMBER(E110),ISNUMBER(E111)),(E177-E140/E110)/((1-AL_FreeShare)/E110+AL_FreeShare/E111),"SLO 不可達")</f>
        <v>4489170250.48186</v>
      </c>
      <c r="F178" s="56" t="s">
        <v>141</v>
      </c>
      <c r="G178" s="91" t="s">
        <v>1469</v>
      </c>
    </row>
    <row r="179" customFormat="false" ht="29.85" hidden="false" customHeight="false" outlineLevel="0" collapsed="false">
      <c r="A179" s="6" t="s">
        <v>1470</v>
      </c>
      <c r="B179" s="59" t="s">
        <v>279</v>
      </c>
      <c r="C179" s="68" t="n">
        <f aca="false">IF(ISNUMBER(C178),C178*1000000/(SRC_DEM_012*1000000000*365),"SLO 不可達")</f>
        <v>14426.1703324719</v>
      </c>
      <c r="D179" s="65" t="n">
        <f aca="false">IF(ISNUMBER(D178),D178*1000000/(SRC_DEM_012*1000000000*365),"SLO 不可達")</f>
        <v>28422.9290682</v>
      </c>
      <c r="E179" s="65" t="n">
        <f aca="false">IF(ISNUMBER(E178),E178*1000000/(SRC_DEM_012*1000000000*365),"SLO 不可達")</f>
        <v>4919.63863066505</v>
      </c>
      <c r="F179" s="56" t="s">
        <v>141</v>
      </c>
      <c r="G179" s="91" t="s">
        <v>1471</v>
      </c>
    </row>
    <row r="180" customFormat="false" ht="29.85" hidden="false" customHeight="false" outlineLevel="0" collapsed="false">
      <c r="A180" s="6" t="s">
        <v>1472</v>
      </c>
      <c r="B180" s="59" t="s">
        <v>97</v>
      </c>
      <c r="C180" s="112" t="str">
        <f aca="false">IF(ISNUMBER(C179),IF(C179&gt;AL_TokPerPrompt_Hi,"高於區間（"&amp;TEXT(AL_TokPerPrompt_Lo,"#,##0")&amp;"–"&amp;TEXT(AL_TokPerPrompt_Hi,"#,##0")&amp;"）",IF(C179&lt;AL_TokPerPrompt_Lo,"低於區間","區間內")),"SLO 不可達")</f>
        <v>高於區間（2,000–11,000）</v>
      </c>
      <c r="D180" s="112" t="str">
        <f aca="false">IF(ISNUMBER(D179),IF(D179&gt;AL_TokPerPrompt_Hi,"高於區間（"&amp;TEXT(AL_TokPerPrompt_Lo,"#,##0")&amp;"–"&amp;TEXT(AL_TokPerPrompt_Hi,"#,##0")&amp;"）",IF(D179&lt;AL_TokPerPrompt_Lo,"低於區間","區間內")),"SLO 不可達")</f>
        <v>高於區間（2,000–11,000）</v>
      </c>
      <c r="E180" s="112" t="str">
        <f aca="false">IF(ISNUMBER(E179),IF(E179&gt;AL_TokPerPrompt_Hi,"高於區間（"&amp;TEXT(AL_TokPerPrompt_Lo,"#,##0")&amp;"–"&amp;TEXT(AL_TokPerPrompt_Hi,"#,##0")&amp;"）",IF(E179&lt;AL_TokPerPrompt_Lo,"低於區間","區間內")),"SLO 不可達")</f>
        <v>區間內</v>
      </c>
      <c r="F180" s="56" t="s">
        <v>141</v>
      </c>
      <c r="G180" s="91" t="s">
        <v>1444</v>
      </c>
    </row>
    <row r="181" customFormat="false" ht="29.85" hidden="false" customHeight="false" outlineLevel="0" collapsed="false">
      <c r="A181" s="5" t="s">
        <v>1473</v>
      </c>
      <c r="B181" s="59" t="s">
        <v>93</v>
      </c>
      <c r="C181" s="101" t="n">
        <f aca="false">IF(ISNUMBER(C178),(C178*AL_FreeShare/C111)/C177,"SLO 不可達")</f>
        <v>0.21513949658144</v>
      </c>
      <c r="D181" s="101" t="n">
        <f aca="false">IF(ISNUMBER(D178),(D178*AL_FreeShare/D111)/D177,"SLO 不可達")</f>
        <v>0.237750466793406</v>
      </c>
      <c r="E181" s="101" t="n">
        <f aca="false">IF(ISNUMBER(E178),(E178*AL_FreeShare/E111)/E177,"SLO 不可達")</f>
        <v>0.162073629839634</v>
      </c>
      <c r="F181" s="56" t="s">
        <v>141</v>
      </c>
      <c r="G181" s="91" t="s">
        <v>1474</v>
      </c>
    </row>
    <row r="182" customFormat="false" ht="15" hidden="false" customHeight="false" outlineLevel="0" collapsed="false">
      <c r="A182" s="10" t="s">
        <v>1475</v>
      </c>
    </row>
    <row r="183" customFormat="false" ht="15" hidden="false" customHeight="false" outlineLevel="0" collapsed="false">
      <c r="A183" s="57" t="s">
        <v>357</v>
      </c>
      <c r="B183" s="57" t="s">
        <v>77</v>
      </c>
      <c r="C183" s="10" t="s">
        <v>1476</v>
      </c>
      <c r="D183" s="10" t="s">
        <v>1477</v>
      </c>
      <c r="E183" s="10" t="s">
        <v>1478</v>
      </c>
      <c r="F183" s="10" t="s">
        <v>1479</v>
      </c>
      <c r="G183" s="57" t="s">
        <v>81</v>
      </c>
      <c r="H183" s="57" t="s">
        <v>325</v>
      </c>
    </row>
    <row r="184" customFormat="false" ht="15" hidden="false" customHeight="false" outlineLevel="0" collapsed="false">
      <c r="A184" s="10" t="s">
        <v>1480</v>
      </c>
    </row>
    <row r="185" customFormat="false" ht="167.9" hidden="false" customHeight="false" outlineLevel="0" collapsed="false">
      <c r="A185" s="5" t="s">
        <v>1481</v>
      </c>
      <c r="B185" s="59" t="s">
        <v>867</v>
      </c>
      <c r="C185" s="92" t="n">
        <f aca="false">SRC_DEM_007</f>
        <v>13.07</v>
      </c>
      <c r="D185" s="113" t="n">
        <f aca="false">SRC_DEM_069*4</f>
        <v>22.8</v>
      </c>
      <c r="E185" s="113" t="n">
        <f aca="false">SRC_DEM_042*4</f>
        <v>26.8</v>
      </c>
      <c r="F185" s="147" t="n">
        <v>36</v>
      </c>
      <c r="G185" s="56" t="s">
        <v>1482</v>
      </c>
      <c r="H185" s="85" t="s">
        <v>1483</v>
      </c>
    </row>
    <row r="186" customFormat="false" ht="314.15" hidden="false" customHeight="false" outlineLevel="0" collapsed="false">
      <c r="A186" s="5" t="s">
        <v>1484</v>
      </c>
      <c r="B186" s="59" t="s">
        <v>867</v>
      </c>
      <c r="C186" s="113" t="n">
        <v>0</v>
      </c>
      <c r="D186" s="147" t="n">
        <v>0</v>
      </c>
      <c r="E186" s="147" t="n">
        <v>0.5</v>
      </c>
      <c r="F186" s="147" t="n">
        <v>1</v>
      </c>
      <c r="G186" s="56" t="s">
        <v>1485</v>
      </c>
      <c r="H186" s="85" t="s">
        <v>1486</v>
      </c>
    </row>
    <row r="187" customFormat="false" ht="179.1" hidden="false" customHeight="false" outlineLevel="0" collapsed="false">
      <c r="A187" s="6" t="s">
        <v>1487</v>
      </c>
      <c r="B187" s="59" t="s">
        <v>867</v>
      </c>
      <c r="C187" s="113" t="n">
        <f aca="false">C185-C186</f>
        <v>13.07</v>
      </c>
      <c r="D187" s="113" t="n">
        <f aca="false">D185-D186</f>
        <v>22.8</v>
      </c>
      <c r="E187" s="113" t="n">
        <f aca="false">E185-E186</f>
        <v>26.3</v>
      </c>
      <c r="F187" s="113" t="n">
        <f aca="false">F185-F186</f>
        <v>35</v>
      </c>
      <c r="G187" s="56" t="s">
        <v>141</v>
      </c>
      <c r="H187" s="85" t="s">
        <v>1488</v>
      </c>
    </row>
    <row r="188" customFormat="false" ht="208.2" hidden="false" customHeight="false" outlineLevel="0" collapsed="false">
      <c r="A188" s="5" t="s">
        <v>1489</v>
      </c>
      <c r="B188" s="59" t="s">
        <v>93</v>
      </c>
      <c r="C188" s="101" t="n">
        <f aca="false">C70</f>
        <v>0.7</v>
      </c>
      <c r="D188" s="148" t="n">
        <v>0.6</v>
      </c>
      <c r="E188" s="148" t="n">
        <v>0.55</v>
      </c>
      <c r="F188" s="148" t="n">
        <v>0.45</v>
      </c>
      <c r="G188" s="56" t="s">
        <v>1490</v>
      </c>
      <c r="H188" s="85" t="s">
        <v>1491</v>
      </c>
    </row>
    <row r="189" customFormat="false" ht="242.5" hidden="false" customHeight="false" outlineLevel="0" collapsed="false">
      <c r="A189" s="5" t="s">
        <v>1492</v>
      </c>
      <c r="B189" s="59" t="s">
        <v>93</v>
      </c>
      <c r="C189" s="101" t="n">
        <f aca="false">C131</f>
        <v>0.1</v>
      </c>
      <c r="D189" s="148" t="n">
        <v>0.2</v>
      </c>
      <c r="E189" s="148" t="n">
        <v>0.25</v>
      </c>
      <c r="F189" s="148" t="n">
        <v>0.35</v>
      </c>
      <c r="G189" s="56" t="s">
        <v>94</v>
      </c>
      <c r="H189" s="85" t="s">
        <v>1493</v>
      </c>
    </row>
    <row r="190" customFormat="false" ht="15" hidden="false" customHeight="false" outlineLevel="0" collapsed="false">
      <c r="A190" s="5" t="s">
        <v>1494</v>
      </c>
      <c r="B190" s="59" t="s">
        <v>93</v>
      </c>
      <c r="C190" s="101" t="n">
        <f aca="false">1-C188-C189</f>
        <v>0.2</v>
      </c>
      <c r="D190" s="101" t="n">
        <f aca="false">1-D188-D189</f>
        <v>0.2</v>
      </c>
      <c r="E190" s="101" t="n">
        <f aca="false">1-E188-E189</f>
        <v>0.2</v>
      </c>
      <c r="F190" s="101" t="n">
        <f aca="false">1-F188-F189</f>
        <v>0.2</v>
      </c>
      <c r="G190" s="56" t="s">
        <v>141</v>
      </c>
      <c r="H190" s="91" t="s">
        <v>1495</v>
      </c>
    </row>
    <row r="191" customFormat="false" ht="64.9" hidden="false" customHeight="false" outlineLevel="0" collapsed="false">
      <c r="A191" s="5" t="s">
        <v>1496</v>
      </c>
      <c r="B191" s="59" t="s">
        <v>867</v>
      </c>
      <c r="C191" s="113" t="n">
        <f aca="false">C187*C188</f>
        <v>9.149</v>
      </c>
      <c r="D191" s="113" t="n">
        <f aca="false">D187*D188</f>
        <v>13.68</v>
      </c>
      <c r="E191" s="113" t="n">
        <f aca="false">E187*E188</f>
        <v>14.465</v>
      </c>
      <c r="F191" s="113" t="n">
        <f aca="false">F187*F188</f>
        <v>15.75</v>
      </c>
      <c r="G191" s="56" t="s">
        <v>141</v>
      </c>
      <c r="H191" s="85" t="s">
        <v>1497</v>
      </c>
    </row>
    <row r="192" customFormat="false" ht="39.55" hidden="false" customHeight="false" outlineLevel="0" collapsed="false">
      <c r="A192" s="5" t="s">
        <v>1498</v>
      </c>
      <c r="B192" s="59" t="s">
        <v>867</v>
      </c>
      <c r="C192" s="113" t="n">
        <f aca="false">C187*C189</f>
        <v>1.307</v>
      </c>
      <c r="D192" s="113" t="n">
        <f aca="false">D187*D189</f>
        <v>4.56</v>
      </c>
      <c r="E192" s="113" t="n">
        <f aca="false">E187*E189</f>
        <v>6.575</v>
      </c>
      <c r="F192" s="113" t="n">
        <f aca="false">F187*F189</f>
        <v>12.25</v>
      </c>
      <c r="G192" s="56" t="s">
        <v>141</v>
      </c>
      <c r="H192" s="85" t="s">
        <v>1499</v>
      </c>
    </row>
    <row r="193" customFormat="false" ht="77.6" hidden="false" customHeight="false" outlineLevel="0" collapsed="false">
      <c r="A193" s="6" t="s">
        <v>1500</v>
      </c>
      <c r="B193" s="59" t="s">
        <v>867</v>
      </c>
      <c r="C193" s="113" t="n">
        <f aca="false">C187*C190</f>
        <v>2.614</v>
      </c>
      <c r="D193" s="113" t="n">
        <f aca="false">D187*D190</f>
        <v>4.56</v>
      </c>
      <c r="E193" s="113" t="n">
        <f aca="false">E187*E190</f>
        <v>5.26</v>
      </c>
      <c r="F193" s="113" t="n">
        <f aca="false">F187*F190</f>
        <v>7</v>
      </c>
      <c r="G193" s="56" t="s">
        <v>141</v>
      </c>
      <c r="H193" s="85" t="s">
        <v>1501</v>
      </c>
    </row>
    <row r="194" customFormat="false" ht="15" hidden="false" customHeight="false" outlineLevel="0" collapsed="false">
      <c r="A194" s="10" t="s">
        <v>1502</v>
      </c>
    </row>
    <row r="195" customFormat="false" ht="88.05" hidden="false" customHeight="false" outlineLevel="0" collapsed="false">
      <c r="A195" s="6" t="s">
        <v>1503</v>
      </c>
      <c r="B195" s="59" t="s">
        <v>97</v>
      </c>
      <c r="C195" s="59" t="s">
        <v>608</v>
      </c>
      <c r="D195" s="59" t="s">
        <v>608</v>
      </c>
      <c r="E195" s="59" t="s">
        <v>608</v>
      </c>
      <c r="F195" s="146" t="n">
        <v>1.3</v>
      </c>
      <c r="G195" s="56" t="s">
        <v>94</v>
      </c>
      <c r="H195" s="91" t="s">
        <v>1504</v>
      </c>
    </row>
    <row r="196" customFormat="false" ht="73.1" hidden="false" customHeight="false" outlineLevel="0" collapsed="false">
      <c r="A196" s="6" t="s">
        <v>1505</v>
      </c>
      <c r="B196" s="59" t="s">
        <v>787</v>
      </c>
      <c r="C196" s="60" t="n">
        <f aca="false">AL_DAPI</f>
        <v>2365200000</v>
      </c>
      <c r="D196" s="65" t="n">
        <f aca="false">SRC_DEM_011*1000000000*525600/1000000</f>
        <v>7884000000</v>
      </c>
      <c r="E196" s="65" t="n">
        <f aca="false">SRC_DEM_011*1000000000*525600/1000000</f>
        <v>7884000000</v>
      </c>
      <c r="F196" s="65" t="n">
        <f aca="false">E196*F195</f>
        <v>10249200000</v>
      </c>
      <c r="G196" s="56" t="s">
        <v>1447</v>
      </c>
      <c r="H196" s="85" t="s">
        <v>1506</v>
      </c>
    </row>
    <row r="197" customFormat="false" ht="121.6" hidden="false" customHeight="false" outlineLevel="0" collapsed="false">
      <c r="A197" s="6" t="s">
        <v>1507</v>
      </c>
      <c r="B197" s="59" t="s">
        <v>1508</v>
      </c>
      <c r="C197" s="95" t="n">
        <f aca="false">SRC_DEM_012</f>
        <v>2.5</v>
      </c>
      <c r="D197" s="76" t="n">
        <v>3.2</v>
      </c>
      <c r="E197" s="76" t="n">
        <v>3.6</v>
      </c>
      <c r="F197" s="76" t="n">
        <v>3.8</v>
      </c>
      <c r="G197" s="56" t="s">
        <v>1509</v>
      </c>
      <c r="H197" s="85" t="s">
        <v>1510</v>
      </c>
    </row>
    <row r="198" customFormat="false" ht="100.7" hidden="false" customHeight="false" outlineLevel="0" collapsed="false">
      <c r="A198" s="6" t="s">
        <v>1511</v>
      </c>
      <c r="B198" s="59" t="s">
        <v>787</v>
      </c>
      <c r="C198" s="65" t="n">
        <f aca="false">C197*1000000000*AL_TokPerPrompt*365/1000000*(1-AL_FreeShare)</f>
        <v>1460000000</v>
      </c>
      <c r="D198" s="65" t="n">
        <f aca="false">D197*1000000000*AL_TokPerPrompt*365/1000000*(1-AL_FreeShare)</f>
        <v>1868800000</v>
      </c>
      <c r="E198" s="65" t="n">
        <f aca="false">E197*1000000000*AL_TokPerPrompt*365/1000000*(1-AL_FreeShare)</f>
        <v>2102400000</v>
      </c>
      <c r="F198" s="65" t="n">
        <f aca="false">F197*1000000000*AL_TokPerPrompt*365/1000000*(1-AL_FreeShare)</f>
        <v>2219200000</v>
      </c>
      <c r="G198" s="56" t="s">
        <v>1283</v>
      </c>
      <c r="H198" s="85" t="s">
        <v>1512</v>
      </c>
    </row>
    <row r="199" customFormat="false" ht="26.85" hidden="false" customHeight="false" outlineLevel="0" collapsed="false">
      <c r="A199" s="6" t="s">
        <v>1513</v>
      </c>
      <c r="B199" s="59" t="s">
        <v>787</v>
      </c>
      <c r="C199" s="65" t="n">
        <f aca="false">C197*1000000000*AL_TokPerPrompt*365/1000000*AL_FreeShare</f>
        <v>2190000000</v>
      </c>
      <c r="D199" s="65" t="n">
        <f aca="false">D197*1000000000*AL_TokPerPrompt*365/1000000*AL_FreeShare</f>
        <v>2803200000</v>
      </c>
      <c r="E199" s="65" t="n">
        <f aca="false">E197*1000000000*AL_TokPerPrompt*365/1000000*AL_FreeShare</f>
        <v>3153600000</v>
      </c>
      <c r="F199" s="65" t="n">
        <f aca="false">F197*1000000000*AL_TokPerPrompt*365/1000000*AL_FreeShare</f>
        <v>3328800000</v>
      </c>
      <c r="G199" s="56" t="s">
        <v>1283</v>
      </c>
      <c r="H199" s="85" t="s">
        <v>1514</v>
      </c>
    </row>
    <row r="200" customFormat="false" ht="204.45" hidden="false" customHeight="false" outlineLevel="0" collapsed="false">
      <c r="A200" s="6" t="s">
        <v>1515</v>
      </c>
      <c r="B200" s="59" t="s">
        <v>93</v>
      </c>
      <c r="C200" s="101" t="n">
        <f aca="false">$C$132</f>
        <v>0.75</v>
      </c>
      <c r="D200" s="148" t="n">
        <v>0.65</v>
      </c>
      <c r="E200" s="101" t="n">
        <f aca="false">D200</f>
        <v>0.65</v>
      </c>
      <c r="F200" s="101" t="n">
        <f aca="false">D200</f>
        <v>0.65</v>
      </c>
      <c r="G200" s="56" t="s">
        <v>1516</v>
      </c>
      <c r="H200" s="91" t="s">
        <v>1517</v>
      </c>
    </row>
    <row r="201" customFormat="false" ht="64.9" hidden="false" customHeight="false" outlineLevel="0" collapsed="false">
      <c r="A201" s="5" t="s">
        <v>1518</v>
      </c>
      <c r="B201" s="59" t="s">
        <v>787</v>
      </c>
      <c r="C201" s="65" t="n">
        <f aca="false">C198*C200</f>
        <v>1095000000</v>
      </c>
      <c r="D201" s="65" t="n">
        <f aca="false">D198*D200</f>
        <v>1214720000</v>
      </c>
      <c r="E201" s="65" t="n">
        <f aca="false">E198*E200</f>
        <v>1366560000</v>
      </c>
      <c r="F201" s="65" t="n">
        <f aca="false">F198*F200</f>
        <v>1442480000</v>
      </c>
      <c r="G201" s="56" t="s">
        <v>1283</v>
      </c>
      <c r="H201" s="85" t="s">
        <v>1519</v>
      </c>
    </row>
    <row r="202" customFormat="false" ht="29.85" hidden="false" customHeight="false" outlineLevel="0" collapsed="false">
      <c r="A202" s="5" t="s">
        <v>1401</v>
      </c>
      <c r="B202" s="59" t="s">
        <v>787</v>
      </c>
      <c r="C202" s="65" t="n">
        <f aca="false">C198*(1-C200)</f>
        <v>365000000</v>
      </c>
      <c r="D202" s="65" t="n">
        <f aca="false">D198*(1-D200)</f>
        <v>654080000</v>
      </c>
      <c r="E202" s="65" t="n">
        <f aca="false">E198*(1-E200)</f>
        <v>735840000</v>
      </c>
      <c r="F202" s="65" t="n">
        <f aca="false">F198*(1-F200)</f>
        <v>776720000</v>
      </c>
      <c r="G202" s="56" t="s">
        <v>1283</v>
      </c>
      <c r="H202" s="91"/>
    </row>
    <row r="203" customFormat="false" ht="15" hidden="false" customHeight="false" outlineLevel="0" collapsed="false">
      <c r="A203" s="10" t="s">
        <v>1520</v>
      </c>
    </row>
    <row r="204" customFormat="false" ht="141" hidden="false" customHeight="false" outlineLevel="0" collapsed="false">
      <c r="A204" s="6" t="s">
        <v>1521</v>
      </c>
      <c r="B204" s="59" t="s">
        <v>97</v>
      </c>
      <c r="C204" s="112" t="n">
        <f aca="false">$C$232</f>
        <v>0.741199548797632</v>
      </c>
      <c r="D204" s="112" t="n">
        <f aca="false">C204</f>
        <v>0.741199548797632</v>
      </c>
      <c r="E204" s="112" t="n">
        <f aca="false">C204</f>
        <v>0.741199548797632</v>
      </c>
      <c r="F204" s="112" t="n">
        <f aca="false">C204</f>
        <v>0.741199548797632</v>
      </c>
      <c r="G204" s="56" t="s">
        <v>1522</v>
      </c>
      <c r="H204" s="85" t="s">
        <v>1523</v>
      </c>
    </row>
    <row r="205" customFormat="false" ht="39.55" hidden="false" customHeight="false" outlineLevel="0" collapsed="false">
      <c r="A205" s="5" t="s">
        <v>1524</v>
      </c>
      <c r="B205" s="59" t="s">
        <v>795</v>
      </c>
      <c r="C205" s="124" t="n">
        <f aca="false">$C$90</f>
        <v>1.96067555555556</v>
      </c>
      <c r="D205" s="124" t="n">
        <f aca="false">$C$90</f>
        <v>1.96067555555556</v>
      </c>
      <c r="E205" s="124" t="n">
        <f aca="false">$C$90</f>
        <v>1.96067555555556</v>
      </c>
      <c r="F205" s="124" t="n">
        <f aca="false">$C$90</f>
        <v>1.96067555555556</v>
      </c>
      <c r="G205" s="56" t="s">
        <v>141</v>
      </c>
      <c r="H205" s="91" t="s">
        <v>1525</v>
      </c>
    </row>
    <row r="206" customFormat="false" ht="88.05" hidden="false" customHeight="false" outlineLevel="0" collapsed="false">
      <c r="A206" s="6" t="s">
        <v>1526</v>
      </c>
      <c r="B206" s="59" t="s">
        <v>97</v>
      </c>
      <c r="C206" s="104" t="n">
        <f aca="false">C193*1000000000/(C196*C205)</f>
        <v>0.56367915987388</v>
      </c>
      <c r="D206" s="112" t="n">
        <f aca="false">D193*1000000000/(D196*D205)</f>
        <v>0.294993531257639</v>
      </c>
      <c r="E206" s="112" t="n">
        <f aca="false">E193*1000000000/(E196*E205)</f>
        <v>0.340277625968241</v>
      </c>
      <c r="F206" s="112" t="n">
        <f aca="false">F193*1000000000/(F196*F205)</f>
        <v>0.348339190081557</v>
      </c>
      <c r="G206" s="56" t="s">
        <v>141</v>
      </c>
      <c r="H206" s="91" t="s">
        <v>1527</v>
      </c>
    </row>
    <row r="207" customFormat="false" ht="88.05" hidden="false" customHeight="false" outlineLevel="0" collapsed="false">
      <c r="A207" s="6" t="s">
        <v>1528</v>
      </c>
      <c r="B207" s="59" t="s">
        <v>97</v>
      </c>
      <c r="C207" s="112" t="n">
        <f aca="false">C191*1000000000/(C201*C205)</f>
        <v>4.26141444864653</v>
      </c>
      <c r="D207" s="112" t="n">
        <f aca="false">D191*1000000000/(D201*D205)</f>
        <v>5.74386443073768</v>
      </c>
      <c r="E207" s="112" t="n">
        <f aca="false">E191*1000000000/(E201*E205)</f>
        <v>5.39863541199614</v>
      </c>
      <c r="F207" s="112" t="n">
        <f aca="false">F191*1000000000/(F201*F205)</f>
        <v>5.56884363090911</v>
      </c>
      <c r="G207" s="56" t="s">
        <v>141</v>
      </c>
      <c r="H207" s="91" t="s">
        <v>1529</v>
      </c>
    </row>
    <row r="208" customFormat="false" ht="88.05" hidden="false" customHeight="false" outlineLevel="0" collapsed="false">
      <c r="A208" s="6" t="s">
        <v>1530</v>
      </c>
      <c r="B208" s="59" t="s">
        <v>97</v>
      </c>
      <c r="C208" s="112" t="n">
        <f aca="false">C192*1000000000/(C202*C205)</f>
        <v>1.82632047799137</v>
      </c>
      <c r="D208" s="112" t="n">
        <f aca="false">D192*1000000000/(D202*D205)</f>
        <v>3.55572559998047</v>
      </c>
      <c r="E208" s="112" t="n">
        <f aca="false">E192*1000000000/(E202*E205)</f>
        <v>4.55728963350323</v>
      </c>
      <c r="F208" s="112" t="n">
        <f aca="false">F192*1000000000/(F202*F205)</f>
        <v>8.04388524464649</v>
      </c>
      <c r="G208" s="56" t="s">
        <v>141</v>
      </c>
      <c r="H208" s="91" t="s">
        <v>1531</v>
      </c>
    </row>
    <row r="209" customFormat="false" ht="123.85" hidden="false" customHeight="false" outlineLevel="0" collapsed="false">
      <c r="A209" s="6" t="s">
        <v>1532</v>
      </c>
      <c r="B209" s="59" t="s">
        <v>97</v>
      </c>
      <c r="C209" s="104" t="n">
        <f aca="false">C187*1000000000/((C196+C198)*C205)</f>
        <v>1.74267221182383</v>
      </c>
      <c r="D209" s="112" t="n">
        <f aca="false">D187*1000000000/((D196+D198)*D205)</f>
        <v>1.19233912334674</v>
      </c>
      <c r="E209" s="112" t="n">
        <f aca="false">E187*1000000000/((E196+E198)*E205)</f>
        <v>1.34320115513779</v>
      </c>
      <c r="F209" s="112" t="n">
        <f aca="false">F187*1000000000/((F196+F198)*F205)</f>
        <v>1.4316985447146</v>
      </c>
      <c r="G209" s="56" t="s">
        <v>141</v>
      </c>
      <c r="H209" s="91" t="s">
        <v>1533</v>
      </c>
    </row>
    <row r="210" customFormat="false" ht="15" hidden="false" customHeight="false" outlineLevel="0" collapsed="false">
      <c r="A210" s="10" t="s">
        <v>1534</v>
      </c>
    </row>
    <row r="211" customFormat="false" ht="88.05" hidden="false" customHeight="false" outlineLevel="0" collapsed="false">
      <c r="A211" s="6" t="s">
        <v>1535</v>
      </c>
      <c r="B211" s="59" t="s">
        <v>93</v>
      </c>
      <c r="C211" s="107" t="n">
        <f aca="false">AL_MixHopper</f>
        <v>0.6</v>
      </c>
      <c r="D211" s="148" t="n">
        <v>0.25</v>
      </c>
      <c r="E211" s="101" t="n">
        <f aca="false">D211</f>
        <v>0.25</v>
      </c>
      <c r="F211" s="101" t="n">
        <f aca="false">D211</f>
        <v>0.25</v>
      </c>
      <c r="G211" s="56" t="s">
        <v>94</v>
      </c>
      <c r="H211" s="91" t="s">
        <v>1536</v>
      </c>
    </row>
    <row r="212" customFormat="false" ht="62.65" hidden="false" customHeight="false" outlineLevel="0" collapsed="false">
      <c r="A212" s="6" t="s">
        <v>1537</v>
      </c>
      <c r="B212" s="59" t="s">
        <v>93</v>
      </c>
      <c r="C212" s="107" t="n">
        <f aca="false">AL_MixGB200</f>
        <v>0.4</v>
      </c>
      <c r="D212" s="148" t="n">
        <v>0.45</v>
      </c>
      <c r="E212" s="101" t="n">
        <f aca="false">D212</f>
        <v>0.45</v>
      </c>
      <c r="F212" s="101" t="n">
        <f aca="false">D212</f>
        <v>0.45</v>
      </c>
      <c r="G212" s="56" t="s">
        <v>94</v>
      </c>
      <c r="H212" s="91" t="s">
        <v>1538</v>
      </c>
    </row>
    <row r="213" customFormat="false" ht="62.65" hidden="false" customHeight="false" outlineLevel="0" collapsed="false">
      <c r="A213" s="6" t="s">
        <v>1539</v>
      </c>
      <c r="B213" s="59" t="s">
        <v>93</v>
      </c>
      <c r="C213" s="107" t="n">
        <f aca="false">AL_MixGB300</f>
        <v>0</v>
      </c>
      <c r="D213" s="148" t="n">
        <v>0.25</v>
      </c>
      <c r="E213" s="101" t="n">
        <f aca="false">D213</f>
        <v>0.25</v>
      </c>
      <c r="F213" s="101" t="n">
        <f aca="false">D213</f>
        <v>0.25</v>
      </c>
      <c r="G213" s="56" t="s">
        <v>94</v>
      </c>
      <c r="H213" s="91" t="s">
        <v>1540</v>
      </c>
    </row>
    <row r="214" customFormat="false" ht="113.4" hidden="false" customHeight="false" outlineLevel="0" collapsed="false">
      <c r="A214" s="6" t="s">
        <v>1541</v>
      </c>
      <c r="B214" s="59" t="s">
        <v>93</v>
      </c>
      <c r="C214" s="107" t="n">
        <f aca="false">AL_MixVR200</f>
        <v>0</v>
      </c>
      <c r="D214" s="148" t="n">
        <v>0.05</v>
      </c>
      <c r="E214" s="101" t="n">
        <f aca="false">D214</f>
        <v>0.05</v>
      </c>
      <c r="F214" s="101" t="n">
        <f aca="false">D214</f>
        <v>0.05</v>
      </c>
      <c r="G214" s="56" t="s">
        <v>94</v>
      </c>
      <c r="H214" s="91" t="s">
        <v>1542</v>
      </c>
    </row>
    <row r="215" customFormat="false" ht="15" hidden="false" customHeight="false" outlineLevel="0" collapsed="false">
      <c r="A215" s="5" t="s">
        <v>1543</v>
      </c>
      <c r="B215" s="59" t="s">
        <v>93</v>
      </c>
      <c r="C215" s="101" t="n">
        <f aca="false">C211+C212+C213+C214</f>
        <v>1</v>
      </c>
      <c r="D215" s="101" t="n">
        <f aca="false">D211+D212+D213+D214</f>
        <v>1</v>
      </c>
      <c r="E215" s="101" t="n">
        <f aca="false">E211+E212+E213+E214</f>
        <v>1</v>
      </c>
      <c r="F215" s="101" t="n">
        <f aca="false">F211+F212+F213+F214</f>
        <v>1</v>
      </c>
      <c r="G215" s="56" t="s">
        <v>141</v>
      </c>
      <c r="H215" s="91"/>
    </row>
    <row r="216" customFormat="false" ht="180.55" hidden="false" customHeight="false" outlineLevel="0" collapsed="false">
      <c r="A216" s="5" t="s">
        <v>1544</v>
      </c>
      <c r="B216" s="59" t="s">
        <v>867</v>
      </c>
      <c r="C216" s="92" t="n">
        <f aca="false">SRC_DEM_004</f>
        <v>8.4</v>
      </c>
      <c r="D216" s="92" t="n">
        <f aca="false">SRC_DEM_070</f>
        <v>14.1</v>
      </c>
      <c r="E216" s="92" t="n">
        <f aca="false">SRC_DEM_070</f>
        <v>14.1</v>
      </c>
      <c r="F216" s="92" t="n">
        <f aca="false">SRC_DEM_070</f>
        <v>14.1</v>
      </c>
      <c r="G216" s="56" t="s">
        <v>1257</v>
      </c>
      <c r="H216" s="85" t="s">
        <v>1545</v>
      </c>
    </row>
    <row r="217" customFormat="false" ht="39.55" hidden="false" customHeight="false" outlineLevel="0" collapsed="false">
      <c r="A217" s="5" t="s">
        <v>1546</v>
      </c>
      <c r="B217" s="59" t="s">
        <v>1547</v>
      </c>
      <c r="C217" s="112" t="n">
        <f aca="false">SUMPRODUCT(AL_ShareGen,AL_HoldGen)</f>
        <v>9.35311859805586</v>
      </c>
      <c r="D217" s="112" t="n">
        <f aca="false">D211*INDEX(AL_HoldGen,1,1)+D212*INDEX(AL_HoldGen,1,2)+D213*INDEX(AL_HoldGen,1,3)+D214*INDEX(AL_HoldGen,1,4)</f>
        <v>9.73132262697082</v>
      </c>
      <c r="E217" s="112" t="n">
        <f aca="false">E211*INDEX(AL_HoldGen,1,1)+E212*INDEX(AL_HoldGen,1,2)+E213*INDEX(AL_HoldGen,1,3)+E214*INDEX(AL_HoldGen,1,4)</f>
        <v>9.73132262697082</v>
      </c>
      <c r="F217" s="112" t="n">
        <f aca="false">F211*INDEX(AL_HoldGen,1,1)+F212*INDEX(AL_HoldGen,1,2)+F213*INDEX(AL_HoldGen,1,3)+F214*INDEX(AL_HoldGen,1,4)</f>
        <v>9.73132262697082</v>
      </c>
      <c r="G217" s="56" t="s">
        <v>141</v>
      </c>
      <c r="H217" s="85" t="s">
        <v>1548</v>
      </c>
    </row>
    <row r="218" customFormat="false" ht="126.1" hidden="false" customHeight="false" outlineLevel="0" collapsed="false">
      <c r="A218" s="5" t="s">
        <v>1549</v>
      </c>
      <c r="B218" s="59" t="s">
        <v>85</v>
      </c>
      <c r="C218" s="70" t="n">
        <f aca="false">C216/C217/AL_SpendBasis*AL_UtilActual/IF_Util*AL_Kappa</f>
        <v>0.402991871611063</v>
      </c>
      <c r="D218" s="70" t="n">
        <f aca="false">D216/D217/AL_SpendBasis*AL_UtilActual/IF_Util*AL_Kappa</f>
        <v>0.65016065333069</v>
      </c>
      <c r="E218" s="70" t="n">
        <f aca="false">E216/E217/AL_SpendBasis*AL_UtilActual/IF_Util*AL_Kappa</f>
        <v>0.65016065333069</v>
      </c>
      <c r="F218" s="70" t="n">
        <f aca="false">F216/F217/AL_SpendBasis*AL_UtilActual/IF_Util*AL_Kappa</f>
        <v>0.65016065333069</v>
      </c>
      <c r="G218" s="56" t="s">
        <v>1283</v>
      </c>
      <c r="H218" s="85" t="s">
        <v>1550</v>
      </c>
    </row>
    <row r="219" customFormat="false" ht="64.9" hidden="false" customHeight="false" outlineLevel="0" collapsed="false">
      <c r="A219" s="5" t="s">
        <v>1551</v>
      </c>
      <c r="B219" s="59" t="s">
        <v>1346</v>
      </c>
      <c r="C219" s="60" t="n">
        <f aca="false">AL_BlendPaid</f>
        <v>24125625824.4492</v>
      </c>
      <c r="D219" s="65" t="n">
        <f aca="false">IF(OR(AND(D211&gt;0,NOT(ISNUMBER(INDEX(AL_CapPaid,1,1)))),AND(D212&gt;0,NOT(ISNUMBER(INDEX(AL_CapPaid,1,2)))),AND(D213&gt;0,NOT(ISNUMBER(INDEX(AL_CapPaid,1,3)))),AND(D214&gt;0,NOT(ISNUMBER(INDEX(AL_CapPaid,1,4))))),"SLO 不可達",IF(D211&gt;0,D211*INDEX(AL_CapPaid,1,1),0)+IF(D212&gt;0,D212*INDEX(AL_CapPaid,1,2),0)+IF(D213&gt;0,D213*INDEX(AL_CapPaid,1,3),0)+IF(D214&gt;0,D214*INDEX(AL_CapPaid,1,4),0))</f>
        <v>43958939972.3322</v>
      </c>
      <c r="E219" s="65" t="n">
        <f aca="false">IF(OR(AND(E211&gt;0,NOT(ISNUMBER(INDEX(AL_CapPaid,1,1)))),AND(E212&gt;0,NOT(ISNUMBER(INDEX(AL_CapPaid,1,2)))),AND(E213&gt;0,NOT(ISNUMBER(INDEX(AL_CapPaid,1,3)))),AND(E214&gt;0,NOT(ISNUMBER(INDEX(AL_CapPaid,1,4))))),"SLO 不可達",IF(E211&gt;0,E211*INDEX(AL_CapPaid,1,1),0)+IF(E212&gt;0,E212*INDEX(AL_CapPaid,1,2),0)+IF(E213&gt;0,E213*INDEX(AL_CapPaid,1,3),0)+IF(E214&gt;0,E214*INDEX(AL_CapPaid,1,4),0))</f>
        <v>43958939972.3322</v>
      </c>
      <c r="F219" s="65" t="n">
        <f aca="false">IF(OR(AND(F211&gt;0,NOT(ISNUMBER(INDEX(AL_CapPaid,1,1)))),AND(F212&gt;0,NOT(ISNUMBER(INDEX(AL_CapPaid,1,2)))),AND(F213&gt;0,NOT(ISNUMBER(INDEX(AL_CapPaid,1,3)))),AND(F214&gt;0,NOT(ISNUMBER(INDEX(AL_CapPaid,1,4))))),"SLO 不可達",IF(F211&gt;0,F211*INDEX(AL_CapPaid,1,1),0)+IF(F212&gt;0,F212*INDEX(AL_CapPaid,1,2),0)+IF(F213&gt;0,F213*INDEX(AL_CapPaid,1,3),0)+IF(F214&gt;0,F214*INDEX(AL_CapPaid,1,4),0))</f>
        <v>43958939972.3322</v>
      </c>
      <c r="G219" s="56" t="s">
        <v>141</v>
      </c>
      <c r="H219" s="85" t="s">
        <v>1552</v>
      </c>
    </row>
    <row r="220" customFormat="false" ht="26.85" hidden="false" customHeight="false" outlineLevel="0" collapsed="false">
      <c r="A220" s="5" t="s">
        <v>1553</v>
      </c>
      <c r="B220" s="59" t="s">
        <v>1346</v>
      </c>
      <c r="C220" s="60" t="n">
        <f aca="false">AL_BlendFree</f>
        <v>91100077130.4794</v>
      </c>
      <c r="D220" s="65" t="n">
        <f aca="false">IF(OR(AND(D211&gt;0,NOT(ISNUMBER(INDEX(AL_CapFree,1,1)))),AND(D212&gt;0,NOT(ISNUMBER(INDEX(AL_CapFree,1,2)))),AND(D213&gt;0,NOT(ISNUMBER(INDEX(AL_CapFree,1,3)))),AND(D214&gt;0,NOT(ISNUMBER(INDEX(AL_CapFree,1,4))))),"SLO 不可達",IF(D211&gt;0,D211*INDEX(AL_CapFree,1,1),0)+IF(D212&gt;0,D212*INDEX(AL_CapFree,1,2),0)+IF(D213&gt;0,D213*INDEX(AL_CapFree,1,3),0)+IF(D214&gt;0,D214*INDEX(AL_CapFree,1,4),0))</f>
        <v>169628479627.103</v>
      </c>
      <c r="E220" s="65" t="n">
        <f aca="false">IF(OR(AND(E211&gt;0,NOT(ISNUMBER(INDEX(AL_CapFree,1,1)))),AND(E212&gt;0,NOT(ISNUMBER(INDEX(AL_CapFree,1,2)))),AND(E213&gt;0,NOT(ISNUMBER(INDEX(AL_CapFree,1,3)))),AND(E214&gt;0,NOT(ISNUMBER(INDEX(AL_CapFree,1,4))))),"SLO 不可達",IF(E211&gt;0,E211*INDEX(AL_CapFree,1,1),0)+IF(E212&gt;0,E212*INDEX(AL_CapFree,1,2),0)+IF(E213&gt;0,E213*INDEX(AL_CapFree,1,3),0)+IF(E214&gt;0,E214*INDEX(AL_CapFree,1,4),0))</f>
        <v>169628479627.103</v>
      </c>
      <c r="F220" s="65" t="n">
        <f aca="false">IF(OR(AND(F211&gt;0,NOT(ISNUMBER(INDEX(AL_CapFree,1,1)))),AND(F212&gt;0,NOT(ISNUMBER(INDEX(AL_CapFree,1,2)))),AND(F213&gt;0,NOT(ISNUMBER(INDEX(AL_CapFree,1,3)))),AND(F214&gt;0,NOT(ISNUMBER(INDEX(AL_CapFree,1,4))))),"SLO 不可達",IF(F211&gt;0,F211*INDEX(AL_CapFree,1,1),0)+IF(F212&gt;0,F212*INDEX(AL_CapFree,1,2),0)+IF(F213&gt;0,F213*INDEX(AL_CapFree,1,3),0)+IF(F214&gt;0,F214*INDEX(AL_CapFree,1,4),0))</f>
        <v>169628479627.103</v>
      </c>
      <c r="G220" s="56" t="s">
        <v>141</v>
      </c>
      <c r="H220" s="85" t="s">
        <v>1554</v>
      </c>
    </row>
    <row r="221" customFormat="false" ht="37.3" hidden="false" customHeight="false" outlineLevel="0" collapsed="false">
      <c r="A221" s="5" t="s">
        <v>1555</v>
      </c>
      <c r="B221" s="59" t="s">
        <v>97</v>
      </c>
      <c r="C221" s="112" t="n">
        <f aca="false">C199/(C196+C198)</f>
        <v>0.572519083969466</v>
      </c>
      <c r="D221" s="112" t="n">
        <f aca="false">D199/(D196+D198)</f>
        <v>0.287425149700599</v>
      </c>
      <c r="E221" s="112" t="n">
        <f aca="false">E199/(E196+E198)</f>
        <v>0.315789473684211</v>
      </c>
      <c r="F221" s="112" t="n">
        <f aca="false">F199/(F196+F198)</f>
        <v>0.266978922716628</v>
      </c>
      <c r="G221" s="56" t="s">
        <v>141</v>
      </c>
      <c r="H221" s="85" t="s">
        <v>1556</v>
      </c>
    </row>
    <row r="222" customFormat="false" ht="29.85" hidden="false" customHeight="false" outlineLevel="0" collapsed="false">
      <c r="A222" s="5" t="s">
        <v>1359</v>
      </c>
      <c r="B222" s="59" t="s">
        <v>787</v>
      </c>
      <c r="C222" s="65" t="n">
        <f aca="false">IF(AND(ISNUMBER(C219),ISNUMBER(C220)),C218/(1/C219+C221/C220),"SLO 不可達")</f>
        <v>8442412251.69907</v>
      </c>
      <c r="D222" s="65" t="n">
        <f aca="false">IF(AND(ISNUMBER(D219),ISNUMBER(D220)),D218/(1/D219+D221/D220),"SLO 不可達")</f>
        <v>26599117832.1359</v>
      </c>
      <c r="E222" s="65" t="n">
        <f aca="false">IF(AND(ISNUMBER(E219),ISNUMBER(E220)),E218/(1/E219+E221/E220),"SLO 不可達")</f>
        <v>26418389369.2984</v>
      </c>
      <c r="F222" s="65" t="n">
        <f aca="false">IF(AND(ISNUMBER(F219),ISNUMBER(F220)),F218/(1/F219+F221/F220),"SLO 不可達")</f>
        <v>26730935955.3073</v>
      </c>
      <c r="G222" s="56" t="s">
        <v>141</v>
      </c>
      <c r="H222" s="85" t="s">
        <v>1557</v>
      </c>
    </row>
    <row r="223" customFormat="false" ht="60.4" hidden="false" customHeight="false" outlineLevel="0" collapsed="false">
      <c r="A223" s="6" t="s">
        <v>1558</v>
      </c>
      <c r="B223" s="59" t="s">
        <v>97</v>
      </c>
      <c r="C223" s="104" t="n">
        <f aca="false">IF(ISNUMBER(C222),C187*1000000000/(C222*C205),"SLO 不可達")</f>
        <v>0.789593015115666</v>
      </c>
      <c r="D223" s="112" t="n">
        <f aca="false">IF(ISNUMBER(D222),D187*1000000000/(D222*D205),"SLO 不可達")</f>
        <v>0.437181604125491</v>
      </c>
      <c r="E223" s="112" t="n">
        <f aca="false">IF(ISNUMBER(E222),E187*1000000000/(E222*E205),"SLO 不可達")</f>
        <v>0.507742687419717</v>
      </c>
      <c r="F223" s="112" t="n">
        <f aca="false">IF(ISNUMBER(F222),F187*1000000000/(F222*F205),"SLO 不可達")</f>
        <v>0.667802659987866</v>
      </c>
      <c r="G223" s="56" t="s">
        <v>141</v>
      </c>
      <c r="H223" s="91" t="s">
        <v>1559</v>
      </c>
    </row>
    <row r="224" customFormat="false" ht="39.55" hidden="false" customHeight="false" outlineLevel="0" collapsed="false">
      <c r="A224" s="5" t="s">
        <v>1560</v>
      </c>
      <c r="B224" s="59" t="s">
        <v>97</v>
      </c>
      <c r="C224" s="112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59" t="s">
        <v>608</v>
      </c>
      <c r="E224" s="59" t="s">
        <v>608</v>
      </c>
      <c r="F224" s="59" t="s">
        <v>608</v>
      </c>
      <c r="G224" s="56" t="s">
        <v>141</v>
      </c>
      <c r="H224" s="85" t="s">
        <v>1561</v>
      </c>
    </row>
    <row r="225" customFormat="false" ht="15" hidden="false" customHeight="false" outlineLevel="0" collapsed="false">
      <c r="A225" s="10" t="s">
        <v>1562</v>
      </c>
    </row>
    <row r="226" customFormat="false" ht="64.9" hidden="false" customHeight="false" outlineLevel="0" collapsed="false">
      <c r="A226" s="5" t="s">
        <v>1563</v>
      </c>
      <c r="B226" s="59" t="s">
        <v>93</v>
      </c>
      <c r="C226" s="148" t="n">
        <v>-0.1</v>
      </c>
      <c r="D226" s="148" t="n">
        <v>-0.25</v>
      </c>
      <c r="E226" s="148" t="n">
        <v>0.05</v>
      </c>
      <c r="F226" s="56" t="s">
        <v>94</v>
      </c>
      <c r="G226" s="91" t="s">
        <v>1564</v>
      </c>
    </row>
    <row r="227" customFormat="false" ht="26.85" hidden="false" customHeight="false" outlineLevel="0" collapsed="false">
      <c r="A227" s="5" t="s">
        <v>1565</v>
      </c>
      <c r="B227" s="58" t="s">
        <v>128</v>
      </c>
      <c r="C227" s="64" t="n">
        <v>4</v>
      </c>
      <c r="D227" s="64" t="n">
        <v>3</v>
      </c>
      <c r="E227" s="64" t="n">
        <v>5</v>
      </c>
      <c r="F227" s="56" t="s">
        <v>94</v>
      </c>
      <c r="G227" s="91" t="s">
        <v>1566</v>
      </c>
    </row>
    <row r="228" customFormat="false" ht="29.85" hidden="false" customHeight="false" outlineLevel="0" collapsed="false">
      <c r="A228" s="5" t="s">
        <v>1567</v>
      </c>
      <c r="B228" s="59" t="s">
        <v>97</v>
      </c>
      <c r="C228" s="146" t="n">
        <v>0.5</v>
      </c>
      <c r="D228" s="112" t="n">
        <f aca="false">IF_PriceRef_Luna/IF_PriceRef_Sol</f>
        <v>0.05</v>
      </c>
      <c r="E228" s="146" t="n">
        <v>1</v>
      </c>
      <c r="F228" s="56" t="s">
        <v>1568</v>
      </c>
      <c r="G228" s="91" t="s">
        <v>1569</v>
      </c>
    </row>
    <row r="229" customFormat="false" ht="29.85" hidden="false" customHeight="false" outlineLevel="0" collapsed="false">
      <c r="A229" s="5" t="s">
        <v>1570</v>
      </c>
      <c r="B229" s="58" t="s">
        <v>128</v>
      </c>
      <c r="C229" s="109" t="n">
        <f aca="false">INDEX(IF_DeprLifeIT,1,2)</f>
        <v>6</v>
      </c>
      <c r="D229" s="109" t="n">
        <f aca="false">INDEX(IF_DeprLifeIT,1,2)</f>
        <v>6</v>
      </c>
      <c r="E229" s="109" t="n">
        <f aca="false">INDEX(IF_DeprLifeIT,1,2)</f>
        <v>6</v>
      </c>
      <c r="F229" s="56" t="s">
        <v>1571</v>
      </c>
      <c r="G229" s="85" t="s">
        <v>1572</v>
      </c>
    </row>
    <row r="230" customFormat="false" ht="15" hidden="false" customHeight="false" outlineLevel="0" collapsed="false">
      <c r="A230" s="10" t="s">
        <v>1573</v>
      </c>
    </row>
    <row r="231" customFormat="false" ht="15" hidden="false" customHeight="false" outlineLevel="0" collapsed="false">
      <c r="A231" s="6" t="s">
        <v>1574</v>
      </c>
      <c r="B231" s="59" t="s">
        <v>97</v>
      </c>
      <c r="C231" s="112" t="n">
        <f aca="false">LN(1+C226)</f>
        <v>-0.105360515657826</v>
      </c>
      <c r="D231" s="112" t="n">
        <f aca="false">LN(1+D226)</f>
        <v>-0.287682072451781</v>
      </c>
      <c r="E231" s="112" t="n">
        <f aca="false">LN(1+E226)</f>
        <v>0.0487901641694321</v>
      </c>
      <c r="F231" s="56" t="s">
        <v>141</v>
      </c>
      <c r="G231" s="91" t="s">
        <v>1575</v>
      </c>
    </row>
    <row r="232" customFormat="false" ht="15" hidden="false" customHeight="false" outlineLevel="0" collapsed="false">
      <c r="A232" s="6" t="s">
        <v>1576</v>
      </c>
      <c r="B232" s="59" t="s">
        <v>97</v>
      </c>
      <c r="C232" s="104" t="n">
        <f aca="false">IF(ABS(LN(1+C226))&lt;0.000000000001,1,((1+C226)^C229-1)/(C229*LN(1+C226)))</f>
        <v>0.741199548797632</v>
      </c>
      <c r="D232" s="112" t="n">
        <f aca="false">IF(ABS(LN(1+D226))&lt;0.000000000001,1,((1+D226)^D229-1)/(D229*LN(1+D226)))</f>
        <v>0.476232597886788</v>
      </c>
      <c r="E232" s="112" t="n">
        <f aca="false">IF(ABS(LN(1+E226))&lt;0.000000000001,1,((1+E226)^E229-1)/(E229*LN(1+E226)))</f>
        <v>1.16176298513761</v>
      </c>
      <c r="F232" s="56" t="s">
        <v>141</v>
      </c>
      <c r="G232" s="91" t="s">
        <v>1577</v>
      </c>
    </row>
    <row r="233" customFormat="false" ht="29.85" hidden="false" customHeight="false" outlineLevel="0" collapsed="false">
      <c r="A233" s="6" t="s">
        <v>1578</v>
      </c>
      <c r="B233" s="59" t="s">
        <v>97</v>
      </c>
      <c r="C233" s="104" t="n">
        <f aca="false">IF(ABS(LN(1+C226))&lt;0.000000000001,(C227+C228*(C229-C227))/C229,(((1+C226)^C227-1)+C228*((1+C226)^C229-(1+C226)^C227))/(C229*LN(1+C226)))</f>
        <v>0.642602366208498</v>
      </c>
      <c r="D233" s="112" t="n">
        <f aca="false">IF(ABS(LN(1+D226))&lt;0.000000000001,(D227+D228*(D229-D227))/D229,(((1+D226)^D227-1)+D228*((1+D226)^D229-(1+D226)^D227))/(D229*LN(1+D226)))</f>
        <v>0.341997805185732</v>
      </c>
      <c r="E233" s="112" t="n">
        <f aca="false">IF(ABS(LN(1+E226))&lt;0.000000000001,(E227+E228*(E229-E227))/E229,(((1+E226)^E227-1)+E228*((1+E226)^E229-(1+E226)^E227))/(E229*LN(1+E226)))</f>
        <v>1.16176298513761</v>
      </c>
      <c r="F233" s="56" t="s">
        <v>141</v>
      </c>
      <c r="G233" s="91" t="s">
        <v>1579</v>
      </c>
    </row>
    <row r="234" customFormat="false" ht="15" hidden="false" customHeight="false" outlineLevel="0" collapsed="false">
      <c r="A234" s="6" t="s">
        <v>1580</v>
      </c>
      <c r="B234" s="59" t="s">
        <v>97</v>
      </c>
      <c r="C234" s="104" t="n">
        <f aca="false">C233/C232</f>
        <v>0.8669761972345</v>
      </c>
      <c r="D234" s="112" t="n">
        <f aca="false">D233/D232</f>
        <v>0.718131868131868</v>
      </c>
      <c r="E234" s="112" t="n">
        <f aca="false">E233/E232</f>
        <v>1</v>
      </c>
      <c r="F234" s="56" t="s">
        <v>141</v>
      </c>
      <c r="G234" s="91" t="s">
        <v>1581</v>
      </c>
    </row>
    <row r="235" customFormat="false" ht="15" hidden="false" customHeight="false" outlineLevel="0" collapsed="false">
      <c r="A235" s="10" t="s">
        <v>1582</v>
      </c>
    </row>
    <row r="236" customFormat="false" ht="29.85" hidden="false" customHeight="false" outlineLevel="0" collapsed="false">
      <c r="A236" s="5" t="s">
        <v>1583</v>
      </c>
      <c r="B236" s="59" t="s">
        <v>97</v>
      </c>
      <c r="C236" s="112" t="n">
        <f aca="false">CTL_PriceLife</f>
        <v>1</v>
      </c>
      <c r="D236" s="112" t="n">
        <f aca="false">CTL_PriceLife</f>
        <v>1</v>
      </c>
      <c r="E236" s="112" t="n">
        <f aca="false">CTL_PriceLife</f>
        <v>1</v>
      </c>
      <c r="F236" s="56" t="s">
        <v>1584</v>
      </c>
      <c r="G236" s="85" t="s">
        <v>1585</v>
      </c>
    </row>
    <row r="237" customFormat="false" ht="29.85" hidden="false" customHeight="false" outlineLevel="0" collapsed="false">
      <c r="A237" s="5" t="s">
        <v>1586</v>
      </c>
      <c r="B237" s="59" t="s">
        <v>97</v>
      </c>
      <c r="C237" s="59" t="s">
        <v>1587</v>
      </c>
      <c r="D237" s="59" t="s">
        <v>608</v>
      </c>
      <c r="E237" s="59" t="s">
        <v>608</v>
      </c>
      <c r="F237" s="56" t="s">
        <v>1588</v>
      </c>
      <c r="G237" s="85" t="s">
        <v>1589</v>
      </c>
    </row>
    <row r="238" customFormat="false" ht="29.85" hidden="false" customHeight="false" outlineLevel="0" collapsed="false">
      <c r="A238" s="5" t="s">
        <v>1590</v>
      </c>
      <c r="B238" s="59" t="s">
        <v>97</v>
      </c>
      <c r="C238" s="112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2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2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6" t="s">
        <v>141</v>
      </c>
      <c r="G238" s="91" t="s">
        <v>1591</v>
      </c>
    </row>
    <row r="239" customFormat="false" ht="15" hidden="false" customHeight="false" outlineLevel="0" collapsed="false">
      <c r="A239" s="10" t="s">
        <v>1592</v>
      </c>
    </row>
    <row r="240" customFormat="false" ht="41" hidden="false" customHeight="false" outlineLevel="0" collapsed="false">
      <c r="A240" s="5" t="s">
        <v>1593</v>
      </c>
      <c r="B240" s="59" t="s">
        <v>97</v>
      </c>
      <c r="C240" s="104" t="n">
        <f aca="false">IF(AND(ISNUMBER(L1_FleetBreakeven),ISNUMBER(L1_MFleet)),L1_FleetBreakeven/(IF_Util*CTL_ProdDerate*L1_MFleet),"m 非數字（本情境）")</f>
        <v>0.373854918269958</v>
      </c>
      <c r="D240" s="112" t="n">
        <f aca="false">IF(AND(ISNUMBER(L1_FleetBreakeven),ISNUMBER(L1_MFleet_Hi)),L1_FleetBreakeven/(IF_Util*CTL_ProdDerate*L1_MFleet_Hi),"m 非數字（本情境）")</f>
        <v>0.16923611032399</v>
      </c>
      <c r="E240" s="112" t="n">
        <f aca="false">IF(AND(ISNUMBER(L1_FleetBreakeven),ISNUMBER(L1_MFleet_Lo)),L1_FleetBreakeven/(IF_Util*CTL_ProdDerate*L1_MFleet_Lo),"m 非數字（本情境）")</f>
        <v>0.666529911429869</v>
      </c>
      <c r="F240" s="56" t="s">
        <v>141</v>
      </c>
      <c r="G240" s="91" t="s">
        <v>1594</v>
      </c>
    </row>
    <row r="241" customFormat="false" ht="29.85" hidden="false" customHeight="false" outlineLevel="0" collapsed="false">
      <c r="A241" s="5" t="s">
        <v>1595</v>
      </c>
      <c r="B241" s="59" t="s">
        <v>97</v>
      </c>
      <c r="C241" s="112" t="n">
        <f aca="false">IF(AND(ISNUMBER(L1_FleetBreakeven),ISNUMBER(L1_MAPI)),L1_FleetBreakeven/(IF_Util*CTL_ProdDerate*L1_MAPI),"m 非數字（本情境）")</f>
        <v>0.523690164806953</v>
      </c>
      <c r="D241" s="112" t="n">
        <f aca="false">IF(AND(ISNUMBER(L1_FleetBreakeven),ISNUMBER(L1_MAPI_Hi)),L1_FleetBreakeven/(IF_Util*CTL_ProdDerate*L1_MAPI_Hi),"m 非數字（本情境）")</f>
        <v>0.371948671791339</v>
      </c>
      <c r="E241" s="112" t="n">
        <f aca="false">IF(AND(ISNUMBER(L1_FleetBreakeven),ISNUMBER(L1_MAPI_Lo)),L1_FleetBreakeven/(IF_Util*CTL_ProdDerate*L1_MAPI_Lo),"m 非數字（本情境）")</f>
        <v>2.79301421230374</v>
      </c>
      <c r="F241" s="56" t="s">
        <v>141</v>
      </c>
      <c r="G241" s="91" t="s">
        <v>1596</v>
      </c>
    </row>
    <row r="242" customFormat="false" ht="15" hidden="false" customHeight="false" outlineLevel="0" collapsed="false">
      <c r="A242" s="5" t="s">
        <v>1597</v>
      </c>
      <c r="B242" s="59" t="s">
        <v>97</v>
      </c>
      <c r="C242" s="112" t="str">
        <f aca="false">IF(ISNUMBER(C240),IF(C233&gt;=C240,"回本（L_total 口徑）：L_total ≥ 所需 L","未回本（L_total 口徑）：L_total &lt; 所需 L"),"m 非數字（本情境）")</f>
        <v>回本（L_total 口徑）：L_total ≥ 所需 L</v>
      </c>
      <c r="D242" s="112" t="str">
        <f aca="false">IF(ISNUMBER(D240),IF(D233&gt;=D240,"回本（L_total 口徑）：L_total ≥ 所需 L","未回本（L_total 口徑）：L_total &lt; 所需 L"),"m 非數字（本情境）")</f>
        <v>回本（L_total 口徑）：L_total ≥ 所需 L</v>
      </c>
      <c r="E242" s="112" t="str">
        <f aca="false">IF(ISNUMBER(E240),IF(E233&gt;=E240,"回本（L_total 口徑）：L_total ≥ 所需 L","未回本（L_total 口徑）：L_total &lt; 所需 L"),"m 非數字（本情境）")</f>
        <v>回本（L_total 口徑）：L_total ≥ 所需 L</v>
      </c>
      <c r="F242" s="56" t="s">
        <v>141</v>
      </c>
      <c r="G242" s="91" t="s">
        <v>1598</v>
      </c>
    </row>
    <row r="243" customFormat="false" ht="15" hidden="false" customHeight="false" outlineLevel="0" collapsed="false">
      <c r="A243" s="5" t="s">
        <v>1599</v>
      </c>
      <c r="B243" s="59" t="s">
        <v>97</v>
      </c>
      <c r="C243" s="112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2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2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6" t="s">
        <v>141</v>
      </c>
      <c r="G243" s="91" t="s">
        <v>1600</v>
      </c>
    </row>
    <row r="244" customFormat="false" ht="15" hidden="false" customHeight="false" outlineLevel="0" collapsed="false">
      <c r="A244" s="10" t="s">
        <v>1601</v>
      </c>
    </row>
    <row r="245" customFormat="false" ht="29.85" hidden="false" customHeight="false" outlineLevel="0" collapsed="false">
      <c r="A245" s="5" t="s">
        <v>1602</v>
      </c>
      <c r="B245" s="59" t="s">
        <v>97</v>
      </c>
      <c r="C245" s="112" t="n">
        <f aca="false">AL_Kappa</f>
        <v>1</v>
      </c>
      <c r="D245" s="112" t="n">
        <f aca="false">AL_Kappa_Lo</f>
        <v>0.65</v>
      </c>
      <c r="E245" s="112" t="n">
        <f aca="false">AL_Kappa_Hi</f>
        <v>1.2</v>
      </c>
      <c r="F245" s="56" t="s">
        <v>1603</v>
      </c>
      <c r="G245" s="91" t="s">
        <v>1604</v>
      </c>
    </row>
    <row r="246" customFormat="false" ht="29.85" hidden="false" customHeight="false" outlineLevel="0" collapsed="false">
      <c r="A246" s="5" t="s">
        <v>1605</v>
      </c>
      <c r="B246" s="59" t="s">
        <v>97</v>
      </c>
      <c r="C246" s="112" t="n">
        <f aca="false">IF(ISNUMBER(Sens_Perf!$W$98),IF(Sens_Perf!$W$98&gt;0,INDEX(IF_TokGW_Sol,1,11)/Sens_Perf!$W$98,"SLO 不可達"),"SLO 不可達")</f>
        <v>2.30652659115816</v>
      </c>
      <c r="D246" s="112" t="n">
        <f aca="false">IF(ISNUMBER(Sens_Perf!$Y$98),IF(Sens_Perf!$Y$98&gt;0,INDEX(IF_TokGW_Sol,1,11)/Sens_Perf!$Y$98,"SLO 不可達"),"SLO 不可達")</f>
        <v>0.518188098352661</v>
      </c>
      <c r="E246" s="112" t="n">
        <f aca="false">IF(ISNUMBER(Sens_Perf!$W$98),IF(Sens_Perf!$W$98&gt;0,INDEX(IF_TokGW_Sol,1,11)/Sens_Perf!$W$98,"SLO 不可達"),"SLO 不可達")</f>
        <v>2.30652659115816</v>
      </c>
      <c r="F246" s="56" t="s">
        <v>1606</v>
      </c>
      <c r="G246" s="91" t="s">
        <v>1607</v>
      </c>
    </row>
    <row r="247" customFormat="false" ht="15" hidden="false" customHeight="false" outlineLevel="0" collapsed="false">
      <c r="A247" s="10" t="s">
        <v>1608</v>
      </c>
    </row>
    <row r="248" customFormat="false" ht="44" hidden="false" customHeight="false" outlineLevel="0" collapsed="false">
      <c r="A248" s="6" t="s">
        <v>1609</v>
      </c>
      <c r="B248" s="59" t="s">
        <v>279</v>
      </c>
      <c r="C248" s="65" t="n">
        <f aca="false">AL_TokPerPrompt</f>
        <v>4000</v>
      </c>
      <c r="D248" s="65" t="n">
        <f aca="false">AL_TokPerPrompt_Lo</f>
        <v>2000</v>
      </c>
      <c r="E248" s="65" t="n">
        <f aca="false">AL_TokPerPrompt_Hi</f>
        <v>11000</v>
      </c>
      <c r="F248" s="56" t="s">
        <v>1610</v>
      </c>
      <c r="G248" s="91" t="s">
        <v>1611</v>
      </c>
    </row>
    <row r="249" customFormat="false" ht="15" hidden="false" customHeight="false" outlineLevel="0" collapsed="false">
      <c r="A249" s="6" t="s">
        <v>1612</v>
      </c>
      <c r="B249" s="59" t="s">
        <v>85</v>
      </c>
      <c r="C249" s="70" t="n">
        <f aca="false">IF(AND(ISNUMBER(AL_BlendPaid),ISNUMBER(AL_BlendFree)),AL_DAPI/AL_BlendPaid+C248*SRC_DEM_012*1000000000*365/1000000*((1-AL_FreeShare)/AL_BlendPaid+AL_FreeShare/AL_BlendFree),"SLO 不可達")</f>
        <v>0.182592896594975</v>
      </c>
      <c r="D249" s="70" t="n">
        <f aca="false">IF(AND(ISNUMBER(AL_BlendPaid),ISNUMBER(AL_BlendFree)),AL_DAPI/AL_BlendPaid+D248*SRC_DEM_012*1000000000*365/1000000*((1-AL_FreeShare)/AL_BlendPaid+AL_FreeShare/AL_BlendFree),"SLO 不可達")</f>
        <v>0.14031486583431</v>
      </c>
      <c r="E249" s="70" t="n">
        <f aca="false">IF(AND(ISNUMBER(AL_BlendPaid),ISNUMBER(AL_BlendFree)),AL_DAPI/AL_BlendPaid+E248*SRC_DEM_012*1000000000*365/1000000*((1-AL_FreeShare)/AL_BlendPaid+AL_FreeShare/AL_BlendFree),"SLO 不可達")</f>
        <v>0.330566004257302</v>
      </c>
      <c r="F249" s="56" t="s">
        <v>141</v>
      </c>
      <c r="G249" s="91" t="s">
        <v>1613</v>
      </c>
    </row>
    <row r="250" customFormat="false" ht="29.85" hidden="false" customHeight="false" outlineLevel="0" collapsed="false">
      <c r="A250" s="6" t="s">
        <v>1614</v>
      </c>
      <c r="B250" s="59" t="s">
        <v>85</v>
      </c>
      <c r="C250" s="70" t="n">
        <f aca="false">IF(AND(ISNUMBER(AL_BlendPaid),ISNUMBER(AL_BlendFree)),AL_DAPI/AL_BlendPaid+CST_TokPerPromptV528*SRC_DEM_012*1000000000*365/1000000*((1-AL_FreeShare)/AL_BlendPaid+AL_FreeShare/AL_BlendFree),"SLO 不可達")</f>
        <v>0.14031486583431</v>
      </c>
      <c r="D250" s="70" t="n">
        <f aca="false">IF(AND(ISNUMBER(AL_BlendPaid),ISNUMBER(AL_BlendFree)),AL_DAPI/AL_BlendPaid+CST_TokPerPromptV528*SRC_DEM_012*1000000000*365/1000000*((1-AL_FreeShare)/AL_BlendPaid+AL_FreeShare/AL_BlendFree),"SLO 不可達")</f>
        <v>0.14031486583431</v>
      </c>
      <c r="E250" s="70" t="n">
        <f aca="false">IF(AND(ISNUMBER(AL_BlendPaid),ISNUMBER(AL_BlendFree)),AL_DAPI/AL_BlendPaid+CST_TokPerPromptV528*SRC_DEM_012*1000000000*365/1000000*((1-AL_FreeShare)/AL_BlendPaid+AL_FreeShare/AL_BlendFree),"SLO 不可達")</f>
        <v>0.14031486583431</v>
      </c>
      <c r="F250" s="56" t="s">
        <v>141</v>
      </c>
      <c r="G250" s="85" t="s">
        <v>1615</v>
      </c>
    </row>
    <row r="251" customFormat="false" ht="26.85" hidden="false" customHeight="false" outlineLevel="0" collapsed="false">
      <c r="A251" s="5" t="s">
        <v>1616</v>
      </c>
      <c r="B251" s="59" t="s">
        <v>97</v>
      </c>
      <c r="C251" s="104" t="n">
        <f aca="false">IF(AND(ISNUMBER(C249),ISNUMBER(C250)),C249/C250,"SLO 不可達")</f>
        <v>1.30130827912838</v>
      </c>
      <c r="D251" s="112" t="n">
        <f aca="false">IF(AND(ISNUMBER(D249),ISNUMBER(D250)),D249/D250,"SLO 不可達")</f>
        <v>1</v>
      </c>
      <c r="E251" s="112" t="n">
        <f aca="false">IF(AND(ISNUMBER(E249),ISNUMBER(E250)),E249/E250,"SLO 不可達")</f>
        <v>2.35588725607769</v>
      </c>
      <c r="F251" s="56" t="s">
        <v>141</v>
      </c>
      <c r="G251" s="91" t="s">
        <v>1617</v>
      </c>
    </row>
    <row r="252" customFormat="false" ht="29.85" hidden="false" customHeight="false" outlineLevel="0" collapsed="false">
      <c r="A252" s="5" t="s">
        <v>1618</v>
      </c>
      <c r="B252" s="59" t="s">
        <v>97</v>
      </c>
      <c r="C252" s="112" t="n">
        <f aca="false">IF(AND(ISNUMBER(C249),ISNUMBER(AL_ServeGW)),ABS(C249/AL_ServeGW-1),"SLO 不可達")</f>
        <v>0</v>
      </c>
      <c r="D252" s="59" t="s">
        <v>608</v>
      </c>
      <c r="E252" s="59" t="s">
        <v>608</v>
      </c>
      <c r="F252" s="56" t="s">
        <v>141</v>
      </c>
      <c r="G252" s="91" t="s">
        <v>1619</v>
      </c>
    </row>
    <row r="253" customFormat="false" ht="29.85" hidden="false" customHeight="false" outlineLevel="0" collapsed="false">
      <c r="A253" s="6" t="s">
        <v>1620</v>
      </c>
      <c r="B253" s="59" t="s">
        <v>97</v>
      </c>
      <c r="C253" s="112" t="n">
        <f aca="false">IF(AND(ISNUMBER(C250),ISNUMBER(AL_ServeGWSpend)),AL_ServeGWSpend/C250,"SLO 不可達")</f>
        <v>6.40057748463696</v>
      </c>
      <c r="D253" s="112" t="n">
        <f aca="false">C253</f>
        <v>6.40057748463696</v>
      </c>
      <c r="E253" s="112" t="n">
        <f aca="false">C253</f>
        <v>6.40057748463696</v>
      </c>
      <c r="F253" s="56" t="s">
        <v>141</v>
      </c>
      <c r="G253" s="85" t="s">
        <v>1621</v>
      </c>
    </row>
    <row r="254" customFormat="false" ht="15" hidden="false" customHeight="false" outlineLevel="0" collapsed="false">
      <c r="A254" s="10" t="s">
        <v>1622</v>
      </c>
    </row>
    <row r="255" customFormat="false" ht="29.85" hidden="false" customHeight="false" outlineLevel="0" collapsed="false">
      <c r="A255" s="5" t="s">
        <v>1623</v>
      </c>
      <c r="B255" s="59" t="s">
        <v>97</v>
      </c>
      <c r="C255" s="104" t="n">
        <f aca="false">IF(AND(ISNUMBER(L1_ScaleServe),ISNUMBER(AL_SpendBasis),ISNUMBER(AL_UtilActual),ISNUMBER(AL_Kappa)),L1_ScaleServe/(AL_SpendBasis*IF_Util/(AL_UtilActual*AL_Kappa)),"SLO 不可達")</f>
        <v>2.20705120038144</v>
      </c>
      <c r="D255" s="59" t="s">
        <v>608</v>
      </c>
      <c r="E255" s="59" t="s">
        <v>608</v>
      </c>
      <c r="F255" s="56" t="s">
        <v>141</v>
      </c>
      <c r="G255" s="91" t="s">
        <v>1624</v>
      </c>
    </row>
    <row r="256" customFormat="false" ht="29.85" hidden="false" customHeight="false" outlineLevel="0" collapsed="false">
      <c r="A256" s="5" t="s">
        <v>1625</v>
      </c>
      <c r="B256" s="59" t="s">
        <v>97</v>
      </c>
      <c r="C256" s="112" t="n">
        <f aca="false">IF(AND(ISNUMBER(C255),ISNUMBER(C174)),C255-1/C174,"SLO 不可達")</f>
        <v>0</v>
      </c>
      <c r="D256" s="59" t="s">
        <v>608</v>
      </c>
      <c r="E256" s="59" t="s">
        <v>608</v>
      </c>
      <c r="F256" s="56" t="s">
        <v>141</v>
      </c>
      <c r="G256" s="85" t="s">
        <v>1626</v>
      </c>
    </row>
    <row r="257" customFormat="false" ht="15" hidden="false" customHeight="false" outlineLevel="0" collapsed="false">
      <c r="A257" s="10" t="s">
        <v>1627</v>
      </c>
    </row>
    <row r="258" customFormat="false" ht="29.85" hidden="false" customHeight="false" outlineLevel="0" collapsed="false">
      <c r="A258" s="6" t="s">
        <v>1628</v>
      </c>
      <c r="B258" s="59" t="s">
        <v>795</v>
      </c>
      <c r="C258" s="149" t="n">
        <v>2.722</v>
      </c>
      <c r="D258" s="64" t="n">
        <v>7</v>
      </c>
      <c r="E258" s="59" t="s">
        <v>608</v>
      </c>
      <c r="F258" s="56" t="s">
        <v>1629</v>
      </c>
      <c r="G258" s="91" t="s">
        <v>1630</v>
      </c>
    </row>
    <row r="259" customFormat="false" ht="29.85" hidden="false" customHeight="false" outlineLevel="0" collapsed="false">
      <c r="A259" s="6" t="s">
        <v>1631</v>
      </c>
      <c r="B259" s="59" t="s">
        <v>795</v>
      </c>
      <c r="C259" s="149" t="n">
        <v>1.672</v>
      </c>
      <c r="D259" s="64" t="n">
        <v>4</v>
      </c>
      <c r="E259" s="59" t="s">
        <v>608</v>
      </c>
      <c r="F259" s="56" t="s">
        <v>1629</v>
      </c>
      <c r="G259" s="91" t="s">
        <v>1632</v>
      </c>
    </row>
    <row r="260" customFormat="false" ht="29.85" hidden="false" customHeight="false" outlineLevel="0" collapsed="false">
      <c r="A260" s="6" t="s">
        <v>1633</v>
      </c>
      <c r="B260" s="59" t="s">
        <v>795</v>
      </c>
      <c r="C260" s="149" t="n">
        <v>2.341</v>
      </c>
      <c r="D260" s="64" t="n">
        <v>1</v>
      </c>
      <c r="E260" s="59" t="s">
        <v>608</v>
      </c>
      <c r="F260" s="56" t="s">
        <v>1629</v>
      </c>
      <c r="G260" s="91" t="s">
        <v>1634</v>
      </c>
    </row>
    <row r="261" customFormat="false" ht="26.85" hidden="false" customHeight="false" outlineLevel="0" collapsed="false">
      <c r="A261" s="6" t="s">
        <v>1635</v>
      </c>
      <c r="B261" s="59" t="s">
        <v>795</v>
      </c>
      <c r="C261" s="124" t="n">
        <f aca="false">IF_PriceRef_Sol/(1-B4_Disc)</f>
        <v>2.00888888888889</v>
      </c>
      <c r="D261" s="59" t="s">
        <v>608</v>
      </c>
      <c r="E261" s="59" t="s">
        <v>608</v>
      </c>
      <c r="F261" s="56" t="s">
        <v>287</v>
      </c>
      <c r="G261" s="85" t="s">
        <v>1636</v>
      </c>
    </row>
    <row r="262" customFormat="false" ht="15" hidden="false" customHeight="false" outlineLevel="0" collapsed="false">
      <c r="A262" s="6" t="s">
        <v>1637</v>
      </c>
      <c r="B262" s="59" t="s">
        <v>795</v>
      </c>
      <c r="C262" s="124" t="n">
        <f aca="false">(C258*D258+C259*D259+C260*D260)/(D258+D259+D260)</f>
        <v>2.34025</v>
      </c>
      <c r="D262" s="59" t="s">
        <v>608</v>
      </c>
      <c r="E262" s="59" t="s">
        <v>608</v>
      </c>
      <c r="F262" s="56" t="s">
        <v>141</v>
      </c>
      <c r="G262" s="85" t="s">
        <v>1638</v>
      </c>
    </row>
    <row r="263" customFormat="false" ht="44" hidden="false" customHeight="false" outlineLevel="0" collapsed="false">
      <c r="A263" s="5" t="s">
        <v>1639</v>
      </c>
      <c r="B263" s="59" t="s">
        <v>97</v>
      </c>
      <c r="C263" s="104" t="n">
        <f aca="false">C262/C261</f>
        <v>1.16494745575221</v>
      </c>
      <c r="D263" s="112" t="n">
        <f aca="false">MIN(C258,C259,C260)/C261</f>
        <v>0.832300884955752</v>
      </c>
      <c r="E263" s="112" t="n">
        <f aca="false">MAX(C258,C259,C260)/C261</f>
        <v>1.35497787610619</v>
      </c>
      <c r="F263" s="56" t="s">
        <v>141</v>
      </c>
      <c r="G263" s="91" t="s">
        <v>1640</v>
      </c>
    </row>
    <row r="264" customFormat="false" ht="15" hidden="false" customHeight="false" outlineLevel="0" collapsed="false">
      <c r="A264" s="71" t="s">
        <v>1641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1642</v>
      </c>
    </row>
    <row r="2" customFormat="false" ht="15" hidden="false" customHeight="false" outlineLevel="0" collapsed="false">
      <c r="A2" s="71" t="s">
        <v>1643</v>
      </c>
    </row>
    <row r="4" customFormat="false" ht="15" hidden="false" customHeight="false" outlineLevel="0" collapsed="false">
      <c r="A4" s="73" t="s">
        <v>1644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7" t="s">
        <v>357</v>
      </c>
      <c r="B5" s="57" t="s">
        <v>77</v>
      </c>
      <c r="C5" s="10" t="s">
        <v>249</v>
      </c>
      <c r="D5" s="10" t="s">
        <v>250</v>
      </c>
      <c r="E5" s="10" t="s">
        <v>251</v>
      </c>
      <c r="G5" s="57" t="s">
        <v>325</v>
      </c>
    </row>
    <row r="6" customFormat="false" ht="15" hidden="false" customHeight="false" outlineLevel="0" collapsed="false">
      <c r="A6" s="5" t="s">
        <v>1645</v>
      </c>
      <c r="B6" s="59" t="s">
        <v>301</v>
      </c>
      <c r="C6" s="150" t="n">
        <f aca="false">Training!L109</f>
        <v>4.80829842560294E+024</v>
      </c>
      <c r="D6" s="150" t="n">
        <f aca="false">Training!M109</f>
        <v>1.6345355852516E+025</v>
      </c>
      <c r="E6" s="150" t="n">
        <f aca="false">Training!N109</f>
        <v>1.0080164477952E+026</v>
      </c>
      <c r="G6" s="85" t="s">
        <v>1646</v>
      </c>
    </row>
    <row r="7" customFormat="false" ht="15" hidden="false" customHeight="false" outlineLevel="0" collapsed="false">
      <c r="A7" s="6" t="s">
        <v>1647</v>
      </c>
      <c r="B7" s="58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1"/>
    </row>
    <row r="8" customFormat="false" ht="15" hidden="false" customHeight="false" outlineLevel="0" collapsed="false">
      <c r="A8" s="5" t="s">
        <v>1648</v>
      </c>
      <c r="B8" s="58" t="s">
        <v>1649</v>
      </c>
      <c r="C8" s="87" t="n">
        <f aca="false">Price_Frontier!C23</f>
        <v>37</v>
      </c>
      <c r="D8" s="87" t="n">
        <f aca="false">Price_Frontier!D23</f>
        <v>48</v>
      </c>
      <c r="E8" s="87" t="n">
        <f aca="false">Price_Frontier!E23</f>
        <v>53</v>
      </c>
      <c r="G8" s="85" t="s">
        <v>1650</v>
      </c>
    </row>
    <row r="9" customFormat="false" ht="15" hidden="false" customHeight="false" outlineLevel="0" collapsed="false">
      <c r="A9" s="5" t="s">
        <v>1651</v>
      </c>
      <c r="B9" s="58" t="s">
        <v>1652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1653</v>
      </c>
    </row>
    <row r="10" customFormat="false" ht="15" hidden="false" customHeight="false" outlineLevel="0" collapsed="false">
      <c r="A10" s="5" t="s">
        <v>1654</v>
      </c>
      <c r="B10" s="59" t="s">
        <v>97</v>
      </c>
      <c r="C10" s="84" t="str">
        <f aca="false">"—"</f>
        <v>—</v>
      </c>
      <c r="D10" s="106" t="n">
        <f aca="false">Price_Frontier!D24/Price_Frontier!C24</f>
        <v>20</v>
      </c>
      <c r="E10" s="106" t="n">
        <f aca="false">Price_Frontier!E24/Price_Frontier!D24</f>
        <v>5</v>
      </c>
      <c r="G10" s="85" t="s">
        <v>1655</v>
      </c>
    </row>
    <row r="11" customFormat="false" ht="15" hidden="false" customHeight="false" outlineLevel="0" collapsed="false">
      <c r="A11" s="5" t="s">
        <v>1656</v>
      </c>
      <c r="B11" s="59" t="s">
        <v>97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1" t="s">
        <v>1657</v>
      </c>
    </row>
    <row r="13" customFormat="false" ht="15" hidden="false" customHeight="false" outlineLevel="0" collapsed="false">
      <c r="A13" s="73" t="s">
        <v>1658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8" t="s">
        <v>1659</v>
      </c>
      <c r="B14" s="59" t="s">
        <v>97</v>
      </c>
      <c r="C14" s="151" t="n">
        <f aca="false">Train_In!$C$47/E6</f>
        <v>4.96023652286263</v>
      </c>
      <c r="G14" s="91" t="s">
        <v>1660</v>
      </c>
    </row>
    <row r="16" customFormat="false" ht="15" hidden="false" customHeight="false" outlineLevel="0" collapsed="false">
      <c r="A16" s="73" t="s">
        <v>1661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6" t="s">
        <v>1662</v>
      </c>
    </row>
    <row r="18" customFormat="false" ht="15" hidden="false" customHeight="false" outlineLevel="0" collapsed="false">
      <c r="A18" s="56" t="s">
        <v>1663</v>
      </c>
    </row>
    <row r="19" customFormat="false" ht="15" hidden="false" customHeight="false" outlineLevel="0" collapsed="false">
      <c r="A19" s="56" t="s">
        <v>1664</v>
      </c>
    </row>
    <row r="20" customFormat="false" ht="15" hidden="false" customHeight="false" outlineLevel="0" collapsed="false">
      <c r="A20" s="56" t="s">
        <v>1665</v>
      </c>
    </row>
    <row r="21" customFormat="false" ht="15" hidden="false" customHeight="false" outlineLevel="0" collapsed="false">
      <c r="A21" s="56" t="s">
        <v>1666</v>
      </c>
    </row>
    <row r="22" customFormat="false" ht="15" hidden="false" customHeight="false" outlineLevel="0" collapsed="false">
      <c r="A22" s="56" t="s">
        <v>1667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5" t="s">
        <v>1668</v>
      </c>
    </row>
    <row r="2" customFormat="false" ht="15" hidden="false" customHeight="false" outlineLevel="0" collapsed="false">
      <c r="A2" s="71" t="s">
        <v>1669</v>
      </c>
    </row>
    <row r="4" customFormat="false" ht="15" hidden="false" customHeight="false" outlineLevel="0" collapsed="false">
      <c r="A4" s="73" t="s">
        <v>1670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1186</v>
      </c>
      <c r="B5" s="81" t="s">
        <v>1188</v>
      </c>
      <c r="C5" s="81" t="s">
        <v>1194</v>
      </c>
      <c r="D5" s="81" t="s">
        <v>1671</v>
      </c>
      <c r="E5" s="81" t="s">
        <v>1130</v>
      </c>
      <c r="F5" s="81" t="s">
        <v>1132</v>
      </c>
      <c r="G5" s="81" t="s">
        <v>1672</v>
      </c>
      <c r="H5" s="81" t="s">
        <v>1673</v>
      </c>
      <c r="I5" s="81" t="s">
        <v>1674</v>
      </c>
      <c r="J5" s="81" t="s">
        <v>1675</v>
      </c>
      <c r="K5" s="81" t="s">
        <v>1676</v>
      </c>
      <c r="L5" s="81" t="s">
        <v>1677</v>
      </c>
      <c r="M5" s="81" t="s">
        <v>1678</v>
      </c>
      <c r="N5" s="81" t="s">
        <v>1679</v>
      </c>
      <c r="O5" s="81" t="s">
        <v>1680</v>
      </c>
      <c r="P5" s="81" t="s">
        <v>1681</v>
      </c>
    </row>
    <row r="6" customFormat="false" ht="15" hidden="false" customHeight="false" outlineLevel="0" collapsed="false">
      <c r="A6" s="90" t="str">
        <f aca="false">Cap_In!A46</f>
        <v>GPT-6 Luna</v>
      </c>
      <c r="B6" s="90" t="str">
        <f aca="false">Cap_In!C46</f>
        <v>美國</v>
      </c>
      <c r="C6" s="87" t="n">
        <f aca="false">IF(ISNUMBER(Cap_In!I46),Cap_In!I46,"—")</f>
        <v>37</v>
      </c>
      <c r="D6" s="115" t="n">
        <f aca="false">IF(Cap_In!H46=1,IF(B4_PeakMode=1,1,(B4_PeakHrs+(168-B4_PeakHrs)*B4_OffPeak)/168),1)</f>
        <v>1</v>
      </c>
      <c r="E6" s="92" t="n">
        <f aca="false">Cap_In!E46*D6</f>
        <v>0.1</v>
      </c>
      <c r="F6" s="92" t="n">
        <f aca="false">IF(ISNUMBER(Cap_In!F46),Cap_In!F46,Cap_In!E46)*D6</f>
        <v>0.01</v>
      </c>
      <c r="G6" s="92" t="n">
        <f aca="false">Cap_In!G46*D6</f>
        <v>0.5</v>
      </c>
      <c r="H6" s="113" t="n">
        <f aca="false">(INDEX(B4_ISL,1,1)*((1-B4_CacheHit)*E6+B4_CacheHit*F6)+INDEX(B4_OSL,1,1)*G6)/(INDEX(B4_ISL,1,1)+INDEX(B4_OSL,1,1))</f>
        <v>0.100444444444444</v>
      </c>
      <c r="I6" s="113" t="n">
        <f aca="false">(INDEX(B4_ISL,1,2)*((1-B4_CacheHit)*E6+B4_CacheHit*F6)+INDEX(B4_OSL,1,2)*G6)/(INDEX(B4_ISL,1,2)+INDEX(B4_OSL,1,2))</f>
        <v>0.100444444444444</v>
      </c>
      <c r="J6" s="113" t="n">
        <f aca="false">(INDEX(B4_ISL,1,3)*((1-B4_CacheHit)*E6+B4_CacheHit*F6)+INDEX(B4_OSL,1,3)*G6)/(INDEX(B4_ISL,1,3)+INDEX(B4_OSL,1,3))</f>
        <v>0.100444444444444</v>
      </c>
      <c r="K6" s="113" t="n">
        <f aca="false">IF(AND(ISNUMBER(C6),ISNUMBER($C$6)),IF(C6&gt;=$C$6,H6,1000000000),1000000000)</f>
        <v>0.100444444444444</v>
      </c>
      <c r="L6" s="113" t="n">
        <f aca="false">IF(AND(ISNUMBER(C6),ISNUMBER($C$7)),IF(C6&gt;=$C$7,I6,1000000000),1000000000)</f>
        <v>1000000000</v>
      </c>
      <c r="M6" s="113" t="n">
        <f aca="false">IF(AND(ISNUMBER(C6),ISNUMBER($C$8)),IF(C6&gt;=$C$8,J6,1000000000),1000000000)</f>
        <v>1000000000</v>
      </c>
      <c r="N6" s="92" t="n">
        <f aca="false">IF(Cap_In!N46=1,K6,1000000000)</f>
        <v>1000000000</v>
      </c>
      <c r="O6" s="92" t="n">
        <f aca="false">IF(Cap_In!N46=1,L6,1000000000)</f>
        <v>1000000000</v>
      </c>
      <c r="P6" s="92" t="n">
        <f aca="false">IF(Cap_In!N46=1,M6,1000000000)</f>
        <v>1000000000</v>
      </c>
    </row>
    <row r="7" customFormat="false" ht="15" hidden="false" customHeight="false" outlineLevel="0" collapsed="false">
      <c r="A7" s="90" t="str">
        <f aca="false">Cap_In!A47</f>
        <v>GPT-6 Sol</v>
      </c>
      <c r="B7" s="90" t="str">
        <f aca="false">Cap_In!C47</f>
        <v>美國</v>
      </c>
      <c r="C7" s="87" t="n">
        <f aca="false">IF(ISNUMBER(Cap_In!I47),Cap_In!I47,"—")</f>
        <v>48</v>
      </c>
      <c r="D7" s="115" t="n">
        <f aca="false">IF(Cap_In!H47=1,IF(B4_PeakMode=1,1,(B4_PeakHrs+(168-B4_PeakHrs)*B4_OffPeak)/168),1)</f>
        <v>1</v>
      </c>
      <c r="E7" s="92" t="n">
        <f aca="false">Cap_In!E47*D7</f>
        <v>2</v>
      </c>
      <c r="F7" s="92" t="n">
        <f aca="false">IF(ISNUMBER(Cap_In!F47),Cap_In!F47,Cap_In!E47)*D7</f>
        <v>0.2</v>
      </c>
      <c r="G7" s="92" t="n">
        <f aca="false">Cap_In!G47*D7</f>
        <v>10</v>
      </c>
      <c r="H7" s="113" t="n">
        <f aca="false">(INDEX(B4_ISL,1,1)*((1-B4_CacheHit)*E7+B4_CacheHit*F7)+INDEX(B4_OSL,1,1)*G7)/(INDEX(B4_ISL,1,1)+INDEX(B4_OSL,1,1))</f>
        <v>2.00888888888889</v>
      </c>
      <c r="I7" s="113" t="n">
        <f aca="false">(INDEX(B4_ISL,1,2)*((1-B4_CacheHit)*E7+B4_CacheHit*F7)+INDEX(B4_OSL,1,2)*G7)/(INDEX(B4_ISL,1,2)+INDEX(B4_OSL,1,2))</f>
        <v>2.00888888888889</v>
      </c>
      <c r="J7" s="113" t="n">
        <f aca="false">(INDEX(B4_ISL,1,3)*((1-B4_CacheHit)*E7+B4_CacheHit*F7)+INDEX(B4_OSL,1,3)*G7)/(INDEX(B4_ISL,1,3)+INDEX(B4_OSL,1,3))</f>
        <v>2.00888888888889</v>
      </c>
      <c r="K7" s="113" t="n">
        <f aca="false">IF(AND(ISNUMBER(C7),ISNUMBER($C$6)),IF(C7&gt;=$C$6,H7,1000000000),1000000000)</f>
        <v>2.00888888888889</v>
      </c>
      <c r="L7" s="113" t="n">
        <f aca="false">IF(AND(ISNUMBER(C7),ISNUMBER($C$7)),IF(C7&gt;=$C$7,I7,1000000000),1000000000)</f>
        <v>2.00888888888889</v>
      </c>
      <c r="M7" s="113" t="n">
        <f aca="false">IF(AND(ISNUMBER(C7),ISNUMBER($C$8)),IF(C7&gt;=$C$8,J7,1000000000),1000000000)</f>
        <v>1000000000</v>
      </c>
      <c r="N7" s="92" t="n">
        <f aca="false">IF(Cap_In!N47=1,K7,1000000000)</f>
        <v>1000000000</v>
      </c>
      <c r="O7" s="92" t="n">
        <f aca="false">IF(Cap_In!N47=1,L7,1000000000)</f>
        <v>1000000000</v>
      </c>
      <c r="P7" s="92" t="n">
        <f aca="false">IF(Cap_In!N47=1,M7,1000000000)</f>
        <v>1000000000</v>
      </c>
    </row>
    <row r="8" customFormat="false" ht="15" hidden="false" customHeight="false" outlineLevel="0" collapsed="false">
      <c r="A8" s="90" t="str">
        <f aca="false">Cap_In!A48</f>
        <v>GPT-6 Astra</v>
      </c>
      <c r="B8" s="90" t="str">
        <f aca="false">Cap_In!C48</f>
        <v>美國</v>
      </c>
      <c r="C8" s="87" t="n">
        <f aca="false">IF(ISNUMBER(Cap_In!I48),Cap_In!I48,"—")</f>
        <v>53</v>
      </c>
      <c r="D8" s="115" t="n">
        <f aca="false">IF(Cap_In!H48=1,IF(B4_PeakMode=1,1,(B4_PeakHrs+(168-B4_PeakHrs)*B4_OffPeak)/168),1)</f>
        <v>1</v>
      </c>
      <c r="E8" s="92" t="n">
        <f aca="false">Cap_In!E48*D8</f>
        <v>10</v>
      </c>
      <c r="F8" s="92" t="n">
        <f aca="false">IF(ISNUMBER(Cap_In!F48),Cap_In!F48,Cap_In!E48)*D8</f>
        <v>1</v>
      </c>
      <c r="G8" s="92" t="n">
        <f aca="false">Cap_In!G48*D8</f>
        <v>50</v>
      </c>
      <c r="H8" s="113" t="n">
        <f aca="false">(INDEX(B4_ISL,1,1)*((1-B4_CacheHit)*E8+B4_CacheHit*F8)+INDEX(B4_OSL,1,1)*G8)/(INDEX(B4_ISL,1,1)+INDEX(B4_OSL,1,1))</f>
        <v>10.0444444444444</v>
      </c>
      <c r="I8" s="113" t="n">
        <f aca="false">(INDEX(B4_ISL,1,2)*((1-B4_CacheHit)*E8+B4_CacheHit*F8)+INDEX(B4_OSL,1,2)*G8)/(INDEX(B4_ISL,1,2)+INDEX(B4_OSL,1,2))</f>
        <v>10.0444444444444</v>
      </c>
      <c r="J8" s="113" t="n">
        <f aca="false">(INDEX(B4_ISL,1,3)*((1-B4_CacheHit)*E8+B4_CacheHit*F8)+INDEX(B4_OSL,1,3)*G8)/(INDEX(B4_ISL,1,3)+INDEX(B4_OSL,1,3))</f>
        <v>10.0444444444444</v>
      </c>
      <c r="K8" s="113" t="n">
        <f aca="false">IF(AND(ISNUMBER(C8),ISNUMBER($C$6)),IF(C8&gt;=$C$6,H8,1000000000),1000000000)</f>
        <v>10.0444444444444</v>
      </c>
      <c r="L8" s="113" t="n">
        <f aca="false">IF(AND(ISNUMBER(C8),ISNUMBER($C$7)),IF(C8&gt;=$C$7,I8,1000000000),1000000000)</f>
        <v>10.0444444444444</v>
      </c>
      <c r="M8" s="113" t="n">
        <f aca="false">IF(AND(ISNUMBER(C8),ISNUMBER($C$8)),IF(C8&gt;=$C$8,J8,1000000000),1000000000)</f>
        <v>10.0444444444444</v>
      </c>
      <c r="N8" s="92" t="n">
        <f aca="false">IF(Cap_In!N48=1,K8,1000000000)</f>
        <v>1000000000</v>
      </c>
      <c r="O8" s="92" t="n">
        <f aca="false">IF(Cap_In!N48=1,L8,1000000000)</f>
        <v>1000000000</v>
      </c>
      <c r="P8" s="92" t="n">
        <f aca="false">IF(Cap_In!N48=1,M8,1000000000)</f>
        <v>1000000000</v>
      </c>
    </row>
    <row r="9" customFormat="false" ht="15" hidden="false" customHeight="false" outlineLevel="0" collapsed="false">
      <c r="A9" s="90" t="str">
        <f aca="false">Cap_In!A49</f>
        <v>Claude Fable 5.1</v>
      </c>
      <c r="B9" s="90" t="str">
        <f aca="false">Cap_In!C49</f>
        <v>美國</v>
      </c>
      <c r="C9" s="87" t="n">
        <f aca="false">IF(ISNUMBER(Cap_In!I49),Cap_In!I49,"—")</f>
        <v>53</v>
      </c>
      <c r="D9" s="115" t="n">
        <f aca="false">IF(Cap_In!H49=1,IF(B4_PeakMode=1,1,(B4_PeakHrs+(168-B4_PeakHrs)*B4_OffPeak)/168),1)</f>
        <v>1</v>
      </c>
      <c r="E9" s="92" t="n">
        <f aca="false">Cap_In!E49*D9</f>
        <v>10</v>
      </c>
      <c r="F9" s="92" t="n">
        <f aca="false">IF(ISNUMBER(Cap_In!F49),Cap_In!F49,Cap_In!E49)*D9</f>
        <v>0.25</v>
      </c>
      <c r="G9" s="92" t="n">
        <f aca="false">Cap_In!G49*D9</f>
        <v>50</v>
      </c>
      <c r="H9" s="113" t="n">
        <f aca="false">(INDEX(B4_ISL,1,1)*((1-B4_CacheHit)*E9+B4_CacheHit*F9)+INDEX(B4_OSL,1,1)*G9)/(INDEX(B4_ISL,1,1)+INDEX(B4_OSL,1,1))</f>
        <v>9.67777777777778</v>
      </c>
      <c r="I9" s="113" t="n">
        <f aca="false">(INDEX(B4_ISL,1,2)*((1-B4_CacheHit)*E9+B4_CacheHit*F9)+INDEX(B4_OSL,1,2)*G9)/(INDEX(B4_ISL,1,2)+INDEX(B4_OSL,1,2))</f>
        <v>9.67777777777778</v>
      </c>
      <c r="J9" s="113" t="n">
        <f aca="false">(INDEX(B4_ISL,1,3)*((1-B4_CacheHit)*E9+B4_CacheHit*F9)+INDEX(B4_OSL,1,3)*G9)/(INDEX(B4_ISL,1,3)+INDEX(B4_OSL,1,3))</f>
        <v>9.67777777777778</v>
      </c>
      <c r="K9" s="113" t="n">
        <f aca="false">IF(AND(ISNUMBER(C9),ISNUMBER($C$6)),IF(C9&gt;=$C$6,H9,1000000000),1000000000)</f>
        <v>9.67777777777778</v>
      </c>
      <c r="L9" s="113" t="n">
        <f aca="false">IF(AND(ISNUMBER(C9),ISNUMBER($C$7)),IF(C9&gt;=$C$7,I9,1000000000),1000000000)</f>
        <v>9.67777777777778</v>
      </c>
      <c r="M9" s="113" t="n">
        <f aca="false">IF(AND(ISNUMBER(C9),ISNUMBER($C$8)),IF(C9&gt;=$C$8,J9,1000000000),1000000000)</f>
        <v>9.67777777777778</v>
      </c>
      <c r="N9" s="92" t="n">
        <f aca="false">IF(Cap_In!N49=1,K9,1000000000)</f>
        <v>1000000000</v>
      </c>
      <c r="O9" s="92" t="n">
        <f aca="false">IF(Cap_In!N49=1,L9,1000000000)</f>
        <v>1000000000</v>
      </c>
      <c r="P9" s="92" t="n">
        <f aca="false">IF(Cap_In!N49=1,M9,1000000000)</f>
        <v>1000000000</v>
      </c>
    </row>
    <row r="10" customFormat="false" ht="15" hidden="false" customHeight="false" outlineLevel="0" collapsed="false">
      <c r="A10" s="90" t="str">
        <f aca="false">Cap_In!A50</f>
        <v>Claude Opus 5</v>
      </c>
      <c r="B10" s="90" t="str">
        <f aca="false">Cap_In!C50</f>
        <v>美國</v>
      </c>
      <c r="C10" s="87" t="n">
        <f aca="false">IF(ISNUMBER(Cap_In!I50),Cap_In!I50,"—")</f>
        <v>51</v>
      </c>
      <c r="D10" s="115" t="n">
        <f aca="false">IF(Cap_In!H50=1,IF(B4_PeakMode=1,1,(B4_PeakHrs+(168-B4_PeakHrs)*B4_OffPeak)/168),1)</f>
        <v>1</v>
      </c>
      <c r="E10" s="92" t="n">
        <f aca="false">Cap_In!E50*D10</f>
        <v>5</v>
      </c>
      <c r="F10" s="92" t="n">
        <f aca="false">IF(ISNUMBER(Cap_In!F50),Cap_In!F50,Cap_In!E50)*D10</f>
        <v>0.5</v>
      </c>
      <c r="G10" s="92" t="n">
        <f aca="false">Cap_In!G50*D10</f>
        <v>25</v>
      </c>
      <c r="H10" s="113" t="n">
        <f aca="false">(INDEX(B4_ISL,1,1)*((1-B4_CacheHit)*E10+B4_CacheHit*F10)+INDEX(B4_OSL,1,1)*G10)/(INDEX(B4_ISL,1,1)+INDEX(B4_OSL,1,1))</f>
        <v>5.02222222222222</v>
      </c>
      <c r="I10" s="113" t="n">
        <f aca="false">(INDEX(B4_ISL,1,2)*((1-B4_CacheHit)*E10+B4_CacheHit*F10)+INDEX(B4_OSL,1,2)*G10)/(INDEX(B4_ISL,1,2)+INDEX(B4_OSL,1,2))</f>
        <v>5.02222222222222</v>
      </c>
      <c r="J10" s="113" t="n">
        <f aca="false">(INDEX(B4_ISL,1,3)*((1-B4_CacheHit)*E10+B4_CacheHit*F10)+INDEX(B4_OSL,1,3)*G10)/(INDEX(B4_ISL,1,3)+INDEX(B4_OSL,1,3))</f>
        <v>5.02222222222222</v>
      </c>
      <c r="K10" s="113" t="n">
        <f aca="false">IF(AND(ISNUMBER(C10),ISNUMBER($C$6)),IF(C10&gt;=$C$6,H10,1000000000),1000000000)</f>
        <v>5.02222222222222</v>
      </c>
      <c r="L10" s="113" t="n">
        <f aca="false">IF(AND(ISNUMBER(C10),ISNUMBER($C$7)),IF(C10&gt;=$C$7,I10,1000000000),1000000000)</f>
        <v>5.02222222222222</v>
      </c>
      <c r="M10" s="113" t="n">
        <f aca="false">IF(AND(ISNUMBER(C10),ISNUMBER($C$8)),IF(C10&gt;=$C$8,J10,1000000000),1000000000)</f>
        <v>1000000000</v>
      </c>
      <c r="N10" s="92" t="n">
        <f aca="false">IF(Cap_In!N50=1,K10,1000000000)</f>
        <v>1000000000</v>
      </c>
      <c r="O10" s="92" t="n">
        <f aca="false">IF(Cap_In!N50=1,L10,1000000000)</f>
        <v>1000000000</v>
      </c>
      <c r="P10" s="92" t="n">
        <f aca="false">IF(Cap_In!N50=1,M10,1000000000)</f>
        <v>1000000000</v>
      </c>
    </row>
    <row r="11" customFormat="false" ht="15" hidden="false" customHeight="false" outlineLevel="0" collapsed="false">
      <c r="A11" s="90" t="str">
        <f aca="false">Cap_In!A51</f>
        <v>Claude Opus 5.5</v>
      </c>
      <c r="B11" s="90" t="str">
        <f aca="false">Cap_In!C51</f>
        <v>美國</v>
      </c>
      <c r="C11" s="87" t="str">
        <f aca="false">IF(ISNUMBER(Cap_In!I51),Cap_In!I51,"—")</f>
        <v>—</v>
      </c>
      <c r="D11" s="115" t="n">
        <f aca="false">IF(Cap_In!H51=1,IF(B4_PeakMode=1,1,(B4_PeakHrs+(168-B4_PeakHrs)*B4_OffPeak)/168),1)</f>
        <v>1</v>
      </c>
      <c r="E11" s="92" t="n">
        <f aca="false">Cap_In!E51*D11</f>
        <v>4</v>
      </c>
      <c r="F11" s="92" t="n">
        <f aca="false">IF(ISNUMBER(Cap_In!F51),Cap_In!F51,Cap_In!E51)*D11</f>
        <v>0.2</v>
      </c>
      <c r="G11" s="92" t="n">
        <f aca="false">Cap_In!G51*D11</f>
        <v>20</v>
      </c>
      <c r="H11" s="113" t="n">
        <f aca="false">(INDEX(B4_ISL,1,1)*((1-B4_CacheHit)*E11+B4_CacheHit*F11)+INDEX(B4_OSL,1,1)*G11)/(INDEX(B4_ISL,1,1)+INDEX(B4_OSL,1,1))</f>
        <v>3.92</v>
      </c>
      <c r="I11" s="113" t="n">
        <f aca="false">(INDEX(B4_ISL,1,2)*((1-B4_CacheHit)*E11+B4_CacheHit*F11)+INDEX(B4_OSL,1,2)*G11)/(INDEX(B4_ISL,1,2)+INDEX(B4_OSL,1,2))</f>
        <v>3.92</v>
      </c>
      <c r="J11" s="113" t="n">
        <f aca="false">(INDEX(B4_ISL,1,3)*((1-B4_CacheHit)*E11+B4_CacheHit*F11)+INDEX(B4_OSL,1,3)*G11)/(INDEX(B4_ISL,1,3)+INDEX(B4_OSL,1,3))</f>
        <v>3.92</v>
      </c>
      <c r="K11" s="113" t="n">
        <f aca="false">IF(AND(ISNUMBER(C11),ISNUMBER($C$6)),IF(C11&gt;=$C$6,H11,1000000000),1000000000)</f>
        <v>1000000000</v>
      </c>
      <c r="L11" s="113" t="n">
        <f aca="false">IF(AND(ISNUMBER(C11),ISNUMBER($C$7)),IF(C11&gt;=$C$7,I11,1000000000),1000000000)</f>
        <v>1000000000</v>
      </c>
      <c r="M11" s="113" t="n">
        <f aca="false">IF(AND(ISNUMBER(C11),ISNUMBER($C$8)),IF(C11&gt;=$C$8,J11,1000000000),1000000000)</f>
        <v>1000000000</v>
      </c>
      <c r="N11" s="92" t="n">
        <f aca="false">IF(Cap_In!N51=1,K11,1000000000)</f>
        <v>1000000000</v>
      </c>
      <c r="O11" s="92" t="n">
        <f aca="false">IF(Cap_In!N51=1,L11,1000000000)</f>
        <v>1000000000</v>
      </c>
      <c r="P11" s="92" t="n">
        <f aca="false">IF(Cap_In!N51=1,M11,1000000000)</f>
        <v>1000000000</v>
      </c>
    </row>
    <row r="12" customFormat="false" ht="15" hidden="false" customHeight="false" outlineLevel="0" collapsed="false">
      <c r="A12" s="90" t="str">
        <f aca="false">Cap_In!A52</f>
        <v>DeepSeek V4.1-Flash</v>
      </c>
      <c r="B12" s="90" t="str">
        <f aca="false">Cap_In!C52</f>
        <v>中國</v>
      </c>
      <c r="C12" s="87" t="n">
        <f aca="false">IF(ISNUMBER(Cap_In!I52),Cap_In!I52,"—")</f>
        <v>39</v>
      </c>
      <c r="D12" s="115" t="n">
        <f aca="false">IF(Cap_In!H52=1,IF(B4_PeakMode=1,1,(B4_PeakHrs+(168-B4_PeakHrs)*B4_OffPeak)/168),1)</f>
        <v>0.604166666666667</v>
      </c>
      <c r="E12" s="92" t="n">
        <f aca="false">Cap_In!E52*D12</f>
        <v>0.18125</v>
      </c>
      <c r="F12" s="92" t="n">
        <f aca="false">IF(ISNUMBER(Cap_In!F52),Cap_In!F52,Cap_In!E52)*D12</f>
        <v>0.003625</v>
      </c>
      <c r="G12" s="92" t="n">
        <f aca="false">Cap_In!G52*D12</f>
        <v>0.725</v>
      </c>
      <c r="H12" s="113" t="n">
        <f aca="false">(INDEX(B4_ISL,1,1)*((1-B4_CacheHit)*E12+B4_CacheHit*F12)+INDEX(B4_OSL,1,1)*G12)/(INDEX(B4_ISL,1,1)+INDEX(B4_OSL,1,1))</f>
        <v>0.154827777777778</v>
      </c>
      <c r="I12" s="113" t="n">
        <f aca="false">(INDEX(B4_ISL,1,2)*((1-B4_CacheHit)*E12+B4_CacheHit*F12)+INDEX(B4_OSL,1,2)*G12)/(INDEX(B4_ISL,1,2)+INDEX(B4_OSL,1,2))</f>
        <v>0.154827777777778</v>
      </c>
      <c r="J12" s="113" t="n">
        <f aca="false">(INDEX(B4_ISL,1,3)*((1-B4_CacheHit)*E12+B4_CacheHit*F12)+INDEX(B4_OSL,1,3)*G12)/(INDEX(B4_ISL,1,3)+INDEX(B4_OSL,1,3))</f>
        <v>0.154827777777778</v>
      </c>
      <c r="K12" s="113" t="n">
        <f aca="false">IF(AND(ISNUMBER(C12),ISNUMBER($C$6)),IF(C12&gt;=$C$6,H12,1000000000),1000000000)</f>
        <v>0.154827777777778</v>
      </c>
      <c r="L12" s="113" t="n">
        <f aca="false">IF(AND(ISNUMBER(C12),ISNUMBER($C$7)),IF(C12&gt;=$C$7,I12,1000000000),1000000000)</f>
        <v>1000000000</v>
      </c>
      <c r="M12" s="113" t="n">
        <f aca="false">IF(AND(ISNUMBER(C12),ISNUMBER($C$8)),IF(C12&gt;=$C$8,J12,1000000000),1000000000)</f>
        <v>1000000000</v>
      </c>
      <c r="N12" s="92" t="n">
        <f aca="false">IF(Cap_In!N52=1,K12,1000000000)</f>
        <v>0.154827777777778</v>
      </c>
      <c r="O12" s="92" t="n">
        <f aca="false">IF(Cap_In!N52=1,L12,1000000000)</f>
        <v>1000000000</v>
      </c>
      <c r="P12" s="92" t="n">
        <f aca="false">IF(Cap_In!N52=1,M12,1000000000)</f>
        <v>1000000000</v>
      </c>
    </row>
    <row r="13" customFormat="false" ht="15" hidden="false" customHeight="false" outlineLevel="0" collapsed="false">
      <c r="A13" s="90" t="str">
        <f aca="false">Cap_In!A53</f>
        <v>DeepSeek V4-Pro-0813</v>
      </c>
      <c r="B13" s="90" t="str">
        <f aca="false">Cap_In!C53</f>
        <v>中國</v>
      </c>
      <c r="C13" s="87" t="n">
        <f aca="false">IF(ISNUMBER(Cap_In!I53),Cap_In!I53,"—")</f>
        <v>36</v>
      </c>
      <c r="D13" s="115" t="n">
        <f aca="false">IF(Cap_In!H53=1,IF(B4_PeakMode=1,1,(B4_PeakHrs+(168-B4_PeakHrs)*B4_OffPeak)/168),1)</f>
        <v>0.604166666666667</v>
      </c>
      <c r="E13" s="92" t="n">
        <f aca="false">Cap_In!E53*D13</f>
        <v>0.7975</v>
      </c>
      <c r="F13" s="92" t="n">
        <f aca="false">IF(ISNUMBER(Cap_In!F53),Cap_In!F53,Cap_In!E53)*D13</f>
        <v>0.0265833333333333</v>
      </c>
      <c r="G13" s="92" t="n">
        <f aca="false">Cap_In!G53*D13</f>
        <v>2.3925</v>
      </c>
      <c r="H13" s="113" t="n">
        <f aca="false">(INDEX(B4_ISL,1,1)*((1-B4_CacheHit)*E13+B4_CacheHit*F13)+INDEX(B4_OSL,1,1)*G13)/(INDEX(B4_ISL,1,1)+INDEX(B4_OSL,1,1))</f>
        <v>0.59782962962963</v>
      </c>
      <c r="I13" s="113" t="n">
        <f aca="false">(INDEX(B4_ISL,1,2)*((1-B4_CacheHit)*E13+B4_CacheHit*F13)+INDEX(B4_OSL,1,2)*G13)/(INDEX(B4_ISL,1,2)+INDEX(B4_OSL,1,2))</f>
        <v>0.59782962962963</v>
      </c>
      <c r="J13" s="113" t="n">
        <f aca="false">(INDEX(B4_ISL,1,3)*((1-B4_CacheHit)*E13+B4_CacheHit*F13)+INDEX(B4_OSL,1,3)*G13)/(INDEX(B4_ISL,1,3)+INDEX(B4_OSL,1,3))</f>
        <v>0.59782962962963</v>
      </c>
      <c r="K13" s="113" t="n">
        <f aca="false">IF(AND(ISNUMBER(C13),ISNUMBER($C$6)),IF(C13&gt;=$C$6,H13,1000000000),1000000000)</f>
        <v>1000000000</v>
      </c>
      <c r="L13" s="113" t="n">
        <f aca="false">IF(AND(ISNUMBER(C13),ISNUMBER($C$7)),IF(C13&gt;=$C$7,I13,1000000000),1000000000)</f>
        <v>1000000000</v>
      </c>
      <c r="M13" s="113" t="n">
        <f aca="false">IF(AND(ISNUMBER(C13),ISNUMBER($C$8)),IF(C13&gt;=$C$8,J13,1000000000),1000000000)</f>
        <v>1000000000</v>
      </c>
      <c r="N13" s="92" t="n">
        <f aca="false">IF(Cap_In!N53=1,K13,1000000000)</f>
        <v>1000000000</v>
      </c>
      <c r="O13" s="92" t="n">
        <f aca="false">IF(Cap_In!N53=1,L13,1000000000)</f>
        <v>1000000000</v>
      </c>
      <c r="P13" s="92" t="n">
        <f aca="false">IF(Cap_In!N53=1,M13,1000000000)</f>
        <v>1000000000</v>
      </c>
    </row>
    <row r="14" customFormat="false" ht="15" hidden="false" customHeight="false" outlineLevel="0" collapsed="false">
      <c r="A14" s="90" t="str">
        <f aca="false">Cap_In!A54</f>
        <v>GLM-5.3</v>
      </c>
      <c r="B14" s="90" t="str">
        <f aca="false">Cap_In!C54</f>
        <v>中國</v>
      </c>
      <c r="C14" s="87" t="n">
        <f aca="false">IF(ISNUMBER(Cap_In!I54),Cap_In!I54,"—")</f>
        <v>45</v>
      </c>
      <c r="D14" s="115" t="n">
        <f aca="false">IF(Cap_In!H54=1,IF(B4_PeakMode=1,1,(B4_PeakHrs+(168-B4_PeakHrs)*B4_OffPeak)/168),1)</f>
        <v>1</v>
      </c>
      <c r="E14" s="92" t="n">
        <f aca="false">Cap_In!E54*D14</f>
        <v>1.4</v>
      </c>
      <c r="F14" s="92" t="n">
        <f aca="false">IF(ISNUMBER(Cap_In!F54),Cap_In!F54,Cap_In!E54)*D14</f>
        <v>0.26</v>
      </c>
      <c r="G14" s="92" t="n">
        <f aca="false">Cap_In!G54*D14</f>
        <v>4.4</v>
      </c>
      <c r="H14" s="113" t="n">
        <f aca="false">(INDEX(B4_ISL,1,1)*((1-B4_CacheHit)*E14+B4_CacheHit*F14)+INDEX(B4_OSL,1,1)*G14)/(INDEX(B4_ISL,1,1)+INDEX(B4_OSL,1,1))</f>
        <v>1.176</v>
      </c>
      <c r="I14" s="113" t="n">
        <f aca="false">(INDEX(B4_ISL,1,2)*((1-B4_CacheHit)*E14+B4_CacheHit*F14)+INDEX(B4_OSL,1,2)*G14)/(INDEX(B4_ISL,1,2)+INDEX(B4_OSL,1,2))</f>
        <v>1.176</v>
      </c>
      <c r="J14" s="113" t="n">
        <f aca="false">(INDEX(B4_ISL,1,3)*((1-B4_CacheHit)*E14+B4_CacheHit*F14)+INDEX(B4_OSL,1,3)*G14)/(INDEX(B4_ISL,1,3)+INDEX(B4_OSL,1,3))</f>
        <v>1.176</v>
      </c>
      <c r="K14" s="113" t="n">
        <f aca="false">IF(AND(ISNUMBER(C14),ISNUMBER($C$6)),IF(C14&gt;=$C$6,H14,1000000000),1000000000)</f>
        <v>1.176</v>
      </c>
      <c r="L14" s="113" t="n">
        <f aca="false">IF(AND(ISNUMBER(C14),ISNUMBER($C$7)),IF(C14&gt;=$C$7,I14,1000000000),1000000000)</f>
        <v>1000000000</v>
      </c>
      <c r="M14" s="113" t="n">
        <f aca="false">IF(AND(ISNUMBER(C14),ISNUMBER($C$8)),IF(C14&gt;=$C$8,J14,1000000000),1000000000)</f>
        <v>1000000000</v>
      </c>
      <c r="N14" s="92" t="n">
        <f aca="false">IF(Cap_In!N54=1,K14,1000000000)</f>
        <v>1.176</v>
      </c>
      <c r="O14" s="92" t="n">
        <f aca="false">IF(Cap_In!N54=1,L14,1000000000)</f>
        <v>1000000000</v>
      </c>
      <c r="P14" s="92" t="n">
        <f aca="false">IF(Cap_In!N54=1,M14,1000000000)</f>
        <v>1000000000</v>
      </c>
    </row>
    <row r="15" customFormat="false" ht="15" hidden="false" customHeight="false" outlineLevel="0" collapsed="false">
      <c r="A15" s="90" t="str">
        <f aca="false">Cap_In!A55</f>
        <v>GLM-5.3-Flash</v>
      </c>
      <c r="B15" s="90" t="str">
        <f aca="false">Cap_In!C55</f>
        <v>中國</v>
      </c>
      <c r="C15" s="87" t="n">
        <f aca="false">IF(ISNUMBER(Cap_In!I55),Cap_In!I55,"—")</f>
        <v>42</v>
      </c>
      <c r="D15" s="115" t="n">
        <f aca="false">IF(Cap_In!H55=1,IF(B4_PeakMode=1,1,(B4_PeakHrs+(168-B4_PeakHrs)*B4_OffPeak)/168),1)</f>
        <v>1</v>
      </c>
      <c r="E15" s="92" t="n">
        <f aca="false">Cap_In!E55*D15</f>
        <v>0.15</v>
      </c>
      <c r="F15" s="92" t="n">
        <f aca="false">IF(ISNUMBER(Cap_In!F55),Cap_In!F55,Cap_In!E55)*D15</f>
        <v>0.03</v>
      </c>
      <c r="G15" s="92" t="n">
        <f aca="false">Cap_In!G55*D15</f>
        <v>0.5</v>
      </c>
      <c r="H15" s="113" t="n">
        <f aca="false">(INDEX(B4_ISL,1,1)*((1-B4_CacheHit)*E15+B4_CacheHit*F15)+INDEX(B4_OSL,1,1)*G15)/(INDEX(B4_ISL,1,1)+INDEX(B4_OSL,1,1))</f>
        <v>0.130222222222222</v>
      </c>
      <c r="I15" s="113" t="n">
        <f aca="false">(INDEX(B4_ISL,1,2)*((1-B4_CacheHit)*E15+B4_CacheHit*F15)+INDEX(B4_OSL,1,2)*G15)/(INDEX(B4_ISL,1,2)+INDEX(B4_OSL,1,2))</f>
        <v>0.130222222222222</v>
      </c>
      <c r="J15" s="113" t="n">
        <f aca="false">(INDEX(B4_ISL,1,3)*((1-B4_CacheHit)*E15+B4_CacheHit*F15)+INDEX(B4_OSL,1,3)*G15)/(INDEX(B4_ISL,1,3)+INDEX(B4_OSL,1,3))</f>
        <v>0.130222222222222</v>
      </c>
      <c r="K15" s="113" t="n">
        <f aca="false">IF(AND(ISNUMBER(C15),ISNUMBER($C$6)),IF(C15&gt;=$C$6,H15,1000000000),1000000000)</f>
        <v>0.130222222222222</v>
      </c>
      <c r="L15" s="113" t="n">
        <f aca="false">IF(AND(ISNUMBER(C15),ISNUMBER($C$7)),IF(C15&gt;=$C$7,I15,1000000000),1000000000)</f>
        <v>1000000000</v>
      </c>
      <c r="M15" s="113" t="n">
        <f aca="false">IF(AND(ISNUMBER(C15),ISNUMBER($C$8)),IF(C15&gt;=$C$8,J15,1000000000),1000000000)</f>
        <v>1000000000</v>
      </c>
      <c r="N15" s="92" t="n">
        <f aca="false">IF(Cap_In!N55=1,K15,1000000000)</f>
        <v>0.130222222222222</v>
      </c>
      <c r="O15" s="92" t="n">
        <f aca="false">IF(Cap_In!N55=1,L15,1000000000)</f>
        <v>1000000000</v>
      </c>
      <c r="P15" s="92" t="n">
        <f aca="false">IF(Cap_In!N55=1,M15,1000000000)</f>
        <v>1000000000</v>
      </c>
    </row>
    <row r="16" customFormat="false" ht="15" hidden="false" customHeight="false" outlineLevel="0" collapsed="false">
      <c r="A16" s="90" t="str">
        <f aca="false">Cap_In!A56</f>
        <v>Qwen3.8-Max</v>
      </c>
      <c r="B16" s="90" t="str">
        <f aca="false">Cap_In!C56</f>
        <v>中國</v>
      </c>
      <c r="C16" s="87" t="n">
        <f aca="false">IF(ISNUMBER(Cap_In!I56),Cap_In!I56,"—")</f>
        <v>40</v>
      </c>
      <c r="D16" s="115" t="n">
        <f aca="false">IF(Cap_In!H56=1,IF(B4_PeakMode=1,1,(B4_PeakHrs+(168-B4_PeakHrs)*B4_OffPeak)/168),1)</f>
        <v>1</v>
      </c>
      <c r="E16" s="92" t="n">
        <f aca="false">Cap_In!E56*D16</f>
        <v>2</v>
      </c>
      <c r="F16" s="92" t="n">
        <f aca="false">IF(ISNUMBER(Cap_In!F56),Cap_In!F56,Cap_In!E56)*D16</f>
        <v>0.25</v>
      </c>
      <c r="G16" s="92" t="n">
        <f aca="false">Cap_In!G56*D16</f>
        <v>6</v>
      </c>
      <c r="H16" s="113" t="n">
        <f aca="false">(INDEX(B4_ISL,1,1)*((1-B4_CacheHit)*E16+B4_CacheHit*F16)+INDEX(B4_OSL,1,1)*G16)/(INDEX(B4_ISL,1,1)+INDEX(B4_OSL,1,1))</f>
        <v>1.58888888888889</v>
      </c>
      <c r="I16" s="113" t="n">
        <f aca="false">(INDEX(B4_ISL,1,2)*((1-B4_CacheHit)*E16+B4_CacheHit*F16)+INDEX(B4_OSL,1,2)*G16)/(INDEX(B4_ISL,1,2)+INDEX(B4_OSL,1,2))</f>
        <v>1.58888888888889</v>
      </c>
      <c r="J16" s="113" t="n">
        <f aca="false">(INDEX(B4_ISL,1,3)*((1-B4_CacheHit)*E16+B4_CacheHit*F16)+INDEX(B4_OSL,1,3)*G16)/(INDEX(B4_ISL,1,3)+INDEX(B4_OSL,1,3))</f>
        <v>1.58888888888889</v>
      </c>
      <c r="K16" s="113" t="n">
        <f aca="false">IF(AND(ISNUMBER(C16),ISNUMBER($C$6)),IF(C16&gt;=$C$6,H16,1000000000),1000000000)</f>
        <v>1.58888888888889</v>
      </c>
      <c r="L16" s="113" t="n">
        <f aca="false">IF(AND(ISNUMBER(C16),ISNUMBER($C$7)),IF(C16&gt;=$C$7,I16,1000000000),1000000000)</f>
        <v>1000000000</v>
      </c>
      <c r="M16" s="113" t="n">
        <f aca="false">IF(AND(ISNUMBER(C16),ISNUMBER($C$8)),IF(C16&gt;=$C$8,J16,1000000000),1000000000)</f>
        <v>1000000000</v>
      </c>
      <c r="N16" s="92" t="n">
        <f aca="false">IF(Cap_In!N56=1,K16,1000000000)</f>
        <v>1.58888888888889</v>
      </c>
      <c r="O16" s="92" t="n">
        <f aca="false">IF(Cap_In!N56=1,L16,1000000000)</f>
        <v>1000000000</v>
      </c>
      <c r="P16" s="92" t="n">
        <f aca="false">IF(Cap_In!N56=1,M16,1000000000)</f>
        <v>1000000000</v>
      </c>
    </row>
    <row r="17" customFormat="false" ht="15" hidden="false" customHeight="false" outlineLevel="0" collapsed="false">
      <c r="A17" s="90" t="str">
        <f aca="false">Cap_In!A57</f>
        <v>Kimi K3</v>
      </c>
      <c r="B17" s="90" t="str">
        <f aca="false">Cap_In!C57</f>
        <v>中國</v>
      </c>
      <c r="C17" s="87" t="str">
        <f aca="false">IF(ISNUMBER(Cap_In!I57),Cap_In!I57,"—")</f>
        <v>—</v>
      </c>
      <c r="D17" s="115" t="n">
        <f aca="false">IF(Cap_In!H57=1,IF(B4_PeakMode=1,1,(B4_PeakHrs+(168-B4_PeakHrs)*B4_OffPeak)/168),1)</f>
        <v>1</v>
      </c>
      <c r="E17" s="92" t="n">
        <f aca="false">Cap_In!E57*D17</f>
        <v>3</v>
      </c>
      <c r="F17" s="92" t="n">
        <f aca="false">IF(ISNUMBER(Cap_In!F57),Cap_In!F57,Cap_In!E57)*D17</f>
        <v>0.3</v>
      </c>
      <c r="G17" s="92" t="n">
        <f aca="false">Cap_In!G57*D17</f>
        <v>15</v>
      </c>
      <c r="H17" s="113" t="n">
        <f aca="false">(INDEX(B4_ISL,1,1)*((1-B4_CacheHit)*E17+B4_CacheHit*F17)+INDEX(B4_OSL,1,1)*G17)/(INDEX(B4_ISL,1,1)+INDEX(B4_OSL,1,1))</f>
        <v>3.01333333333333</v>
      </c>
      <c r="I17" s="113" t="n">
        <f aca="false">(INDEX(B4_ISL,1,2)*((1-B4_CacheHit)*E17+B4_CacheHit*F17)+INDEX(B4_OSL,1,2)*G17)/(INDEX(B4_ISL,1,2)+INDEX(B4_OSL,1,2))</f>
        <v>3.01333333333333</v>
      </c>
      <c r="J17" s="113" t="n">
        <f aca="false">(INDEX(B4_ISL,1,3)*((1-B4_CacheHit)*E17+B4_CacheHit*F17)+INDEX(B4_OSL,1,3)*G17)/(INDEX(B4_ISL,1,3)+INDEX(B4_OSL,1,3))</f>
        <v>3.01333333333333</v>
      </c>
      <c r="K17" s="113" t="n">
        <f aca="false">IF(AND(ISNUMBER(C17),ISNUMBER($C$6)),IF(C17&gt;=$C$6,H17,1000000000),1000000000)</f>
        <v>1000000000</v>
      </c>
      <c r="L17" s="113" t="n">
        <f aca="false">IF(AND(ISNUMBER(C17),ISNUMBER($C$7)),IF(C17&gt;=$C$7,I17,1000000000),1000000000)</f>
        <v>1000000000</v>
      </c>
      <c r="M17" s="113" t="n">
        <f aca="false">IF(AND(ISNUMBER(C17),ISNUMBER($C$8)),IF(C17&gt;=$C$8,J17,1000000000),1000000000)</f>
        <v>1000000000</v>
      </c>
      <c r="N17" s="92" t="n">
        <f aca="false">IF(Cap_In!N57=1,K17,1000000000)</f>
        <v>1000000000</v>
      </c>
      <c r="O17" s="92" t="n">
        <f aca="false">IF(Cap_In!N57=1,L17,1000000000)</f>
        <v>1000000000</v>
      </c>
      <c r="P17" s="92" t="n">
        <f aca="false">IF(Cap_In!N57=1,M17,1000000000)</f>
        <v>1000000000</v>
      </c>
    </row>
    <row r="18" customFormat="false" ht="15" hidden="false" customHeight="false" outlineLevel="0" collapsed="false">
      <c r="A18" s="90" t="str">
        <f aca="false">Cap_In!A58</f>
        <v>MiniMax M3</v>
      </c>
      <c r="B18" s="90" t="str">
        <f aca="false">Cap_In!C58</f>
        <v>中國</v>
      </c>
      <c r="C18" s="87" t="str">
        <f aca="false">IF(ISNUMBER(Cap_In!I58),Cap_In!I58,"—")</f>
        <v>—</v>
      </c>
      <c r="D18" s="115" t="n">
        <f aca="false">IF(Cap_In!H58=1,IF(B4_PeakMode=1,1,(B4_PeakHrs+(168-B4_PeakHrs)*B4_OffPeak)/168),1)</f>
        <v>1</v>
      </c>
      <c r="E18" s="92" t="n">
        <f aca="false">Cap_In!E58*D18</f>
        <v>0.3</v>
      </c>
      <c r="F18" s="92" t="n">
        <f aca="false">IF(ISNUMBER(Cap_In!F58),Cap_In!F58,Cap_In!E58)*D18</f>
        <v>0.3</v>
      </c>
      <c r="G18" s="92" t="n">
        <f aca="false">Cap_In!G58*D18</f>
        <v>1.2</v>
      </c>
      <c r="H18" s="113" t="n">
        <f aca="false">(INDEX(B4_ISL,1,1)*((1-B4_CacheHit)*E18+B4_CacheHit*F18)+INDEX(B4_OSL,1,1)*G18)/(INDEX(B4_ISL,1,1)+INDEX(B4_OSL,1,1))</f>
        <v>0.4</v>
      </c>
      <c r="I18" s="113" t="n">
        <f aca="false">(INDEX(B4_ISL,1,2)*((1-B4_CacheHit)*E18+B4_CacheHit*F18)+INDEX(B4_OSL,1,2)*G18)/(INDEX(B4_ISL,1,2)+INDEX(B4_OSL,1,2))</f>
        <v>0.4</v>
      </c>
      <c r="J18" s="113" t="n">
        <f aca="false">(INDEX(B4_ISL,1,3)*((1-B4_CacheHit)*E18+B4_CacheHit*F18)+INDEX(B4_OSL,1,3)*G18)/(INDEX(B4_ISL,1,3)+INDEX(B4_OSL,1,3))</f>
        <v>0.4</v>
      </c>
      <c r="K18" s="113" t="n">
        <f aca="false">IF(AND(ISNUMBER(C18),ISNUMBER($C$6)),IF(C18&gt;=$C$6,H18,1000000000),1000000000)</f>
        <v>1000000000</v>
      </c>
      <c r="L18" s="113" t="n">
        <f aca="false">IF(AND(ISNUMBER(C18),ISNUMBER($C$7)),IF(C18&gt;=$C$7,I18,1000000000),1000000000)</f>
        <v>1000000000</v>
      </c>
      <c r="M18" s="113" t="n">
        <f aca="false">IF(AND(ISNUMBER(C18),ISNUMBER($C$8)),IF(C18&gt;=$C$8,J18,1000000000),1000000000)</f>
        <v>1000000000</v>
      </c>
      <c r="N18" s="92" t="n">
        <f aca="false">IF(Cap_In!N58=1,K18,1000000000)</f>
        <v>1000000000</v>
      </c>
      <c r="O18" s="92" t="n">
        <f aca="false">IF(Cap_In!N58=1,L18,1000000000)</f>
        <v>1000000000</v>
      </c>
      <c r="P18" s="92" t="n">
        <f aca="false">IF(Cap_In!N58=1,M18,1000000000)</f>
        <v>1000000000</v>
      </c>
    </row>
    <row r="19" customFormat="false" ht="15" hidden="false" customHeight="false" outlineLevel="0" collapsed="false">
      <c r="A19" s="71" t="s">
        <v>1682</v>
      </c>
    </row>
    <row r="21" customFormat="false" ht="15" hidden="false" customHeight="false" outlineLevel="0" collapsed="false">
      <c r="A21" s="73" t="s">
        <v>1683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57" t="s">
        <v>357</v>
      </c>
      <c r="B22" s="57" t="s">
        <v>77</v>
      </c>
      <c r="C22" s="10" t="s">
        <v>249</v>
      </c>
      <c r="D22" s="10" t="s">
        <v>250</v>
      </c>
      <c r="E22" s="10" t="s">
        <v>251</v>
      </c>
    </row>
    <row r="23" customFormat="false" ht="29.85" hidden="false" customHeight="false" outlineLevel="0" collapsed="false">
      <c r="A23" s="5" t="s">
        <v>1684</v>
      </c>
      <c r="B23" s="58" t="s">
        <v>1649</v>
      </c>
      <c r="C23" s="109" t="n">
        <f aca="false">$C$6</f>
        <v>37</v>
      </c>
      <c r="D23" s="109" t="n">
        <f aca="false">$C$7</f>
        <v>48</v>
      </c>
      <c r="E23" s="109" t="n">
        <f aca="false">$C$8</f>
        <v>53</v>
      </c>
    </row>
    <row r="24" customFormat="false" ht="29.85" hidden="false" customHeight="false" outlineLevel="0" collapsed="false">
      <c r="A24" s="6" t="s">
        <v>1685</v>
      </c>
      <c r="B24" s="59" t="s">
        <v>795</v>
      </c>
      <c r="C24" s="113" t="n">
        <f aca="false">INDEX($H$6:$H$18,1)</f>
        <v>0.100444444444444</v>
      </c>
      <c r="D24" s="113" t="n">
        <f aca="false">INDEX($I$6:$I$18,2)</f>
        <v>2.00888888888889</v>
      </c>
      <c r="E24" s="113" t="n">
        <f aca="false">INDEX($J$6:$J$18,3)</f>
        <v>10.0444444444444</v>
      </c>
    </row>
    <row r="25" customFormat="false" ht="15" hidden="false" customHeight="false" outlineLevel="0" collapsed="false">
      <c r="A25" s="5" t="s">
        <v>1686</v>
      </c>
      <c r="B25" s="59" t="s">
        <v>795</v>
      </c>
      <c r="C25" s="123" t="n">
        <f aca="false">MIN($K$6:$K$18)</f>
        <v>0.100444444444444</v>
      </c>
      <c r="D25" s="123" t="n">
        <f aca="false">MIN($L$6:$L$18)</f>
        <v>2.00888888888889</v>
      </c>
      <c r="E25" s="123" t="n">
        <f aca="false">MIN($M$6:$M$18)</f>
        <v>9.67777777777778</v>
      </c>
    </row>
    <row r="26" customFormat="false" ht="15" hidden="false" customHeight="false" outlineLevel="0" collapsed="false">
      <c r="A26" s="5" t="s">
        <v>1687</v>
      </c>
      <c r="B26" s="58"/>
      <c r="C26" s="113" t="str">
        <f aca="false">INDEX($A$6:$A$18,MATCH(C25,$K$6:$K$18,0))</f>
        <v>GPT-6 Luna</v>
      </c>
      <c r="D26" s="113" t="str">
        <f aca="false">INDEX($A$6:$A$18,MATCH(D25,$L$6:$L$18,0))</f>
        <v>GPT-6 Sol</v>
      </c>
      <c r="E26" s="113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1688</v>
      </c>
      <c r="B27" s="59" t="s">
        <v>795</v>
      </c>
      <c r="C27" s="113" t="n">
        <f aca="false">INDEX($E$6:$E$18,MATCH(C25,$K$6:$K$18,0))</f>
        <v>0.1</v>
      </c>
      <c r="D27" s="113" t="n">
        <f aca="false">INDEX($E$6:$E$18,MATCH(D25,$L$6:$L$18,0))</f>
        <v>2</v>
      </c>
      <c r="E27" s="113" t="n">
        <f aca="false">INDEX($E$6:$E$18,MATCH(E25,$M$6:$M$18,0))</f>
        <v>10</v>
      </c>
    </row>
    <row r="28" customFormat="false" ht="15" hidden="false" customHeight="false" outlineLevel="0" collapsed="false">
      <c r="A28" s="5" t="s">
        <v>1689</v>
      </c>
      <c r="B28" s="59" t="s">
        <v>795</v>
      </c>
      <c r="C28" s="113" t="n">
        <f aca="false">INDEX($F$6:$F$18,MATCH(C25,$K$6:$K$18,0))</f>
        <v>0.01</v>
      </c>
      <c r="D28" s="113" t="n">
        <f aca="false">INDEX($F$6:$F$18,MATCH(D25,$L$6:$L$18,0))</f>
        <v>0.2</v>
      </c>
      <c r="E28" s="113" t="n">
        <f aca="false">INDEX($F$6:$F$18,MATCH(E25,$M$6:$M$18,0))</f>
        <v>0.25</v>
      </c>
    </row>
    <row r="29" customFormat="false" ht="15" hidden="false" customHeight="false" outlineLevel="0" collapsed="false">
      <c r="A29" s="5" t="s">
        <v>1690</v>
      </c>
      <c r="B29" s="59" t="s">
        <v>795</v>
      </c>
      <c r="C29" s="113" t="n">
        <f aca="false">INDEX($G$6:$G$18,MATCH(C25,$K$6:$K$18,0))</f>
        <v>0.5</v>
      </c>
      <c r="D29" s="113" t="n">
        <f aca="false">INDEX($G$6:$G$18,MATCH(D25,$L$6:$L$18,0))</f>
        <v>10</v>
      </c>
      <c r="E29" s="113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1691</v>
      </c>
      <c r="B30" s="59" t="s">
        <v>97</v>
      </c>
      <c r="C30" s="102" t="n">
        <f aca="false">C24/C25</f>
        <v>1</v>
      </c>
      <c r="D30" s="102" t="n">
        <f aca="false">D24/D25</f>
        <v>1</v>
      </c>
      <c r="E30" s="102" t="n">
        <f aca="false">E24/E25</f>
        <v>1.03788748564868</v>
      </c>
    </row>
    <row r="31" customFormat="false" ht="29.85" hidden="false" customHeight="false" outlineLevel="0" collapsed="false">
      <c r="A31" s="5" t="s">
        <v>1692</v>
      </c>
      <c r="B31" s="59" t="s">
        <v>795</v>
      </c>
      <c r="C31" s="113" t="n">
        <f aca="false">IF(MIN($N$6:$N$18)&gt;=1000000000,"無合格",MIN($N$6:$N$18))</f>
        <v>0.130222222222222</v>
      </c>
      <c r="D31" s="113" t="str">
        <f aca="false">IF(MIN($O$6:$O$18)&gt;=1000000000,"無合格",MIN($O$6:$O$18))</f>
        <v>無合格</v>
      </c>
      <c r="E31" s="113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1693</v>
      </c>
      <c r="B32" s="58"/>
      <c r="C32" s="113" t="str">
        <f aca="false">IF(ISNUMBER(C31),INDEX($A$6:$A$18,MATCH(C31,$N$6:$N$18,0)),"—")</f>
        <v>GLM-5.3-Flash</v>
      </c>
      <c r="D32" s="113" t="str">
        <f aca="false">IF(ISNUMBER(D31),INDEX($A$6:$A$18,MATCH(D31,$O$6:$O$18,0)),"—")</f>
        <v>—</v>
      </c>
      <c r="E32" s="113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1694</v>
      </c>
      <c r="B33" s="59" t="s">
        <v>97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1695</v>
      </c>
      <c r="B34" s="58" t="s">
        <v>316</v>
      </c>
      <c r="C34" s="109" t="n">
        <f aca="false">COUNTIF($N$6:$N$18,"&lt;1E9")</f>
        <v>4</v>
      </c>
      <c r="D34" s="109" t="n">
        <f aca="false">COUNTIF($O$6:$O$18,"&lt;1E9")</f>
        <v>0</v>
      </c>
      <c r="E34" s="109" t="n">
        <f aca="false">COUNTIF($P$6:$P$18,"&lt;1E9")</f>
        <v>0</v>
      </c>
    </row>
    <row r="36" customFormat="false" ht="15" hidden="false" customHeight="false" outlineLevel="0" collapsed="false">
      <c r="A36" s="73" t="s">
        <v>1696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1697</v>
      </c>
      <c r="B37" s="59" t="s">
        <v>97</v>
      </c>
      <c r="C37" s="95" t="n">
        <f aca="false">Tech_Registry!$E$29</f>
        <v>1</v>
      </c>
      <c r="D37" s="95" t="n">
        <f aca="false">Tech_Registry!$E$29</f>
        <v>1</v>
      </c>
      <c r="E37" s="95" t="n">
        <f aca="false">Tech_Registry!$E$29</f>
        <v>1</v>
      </c>
    </row>
    <row r="38" customFormat="false" ht="29.85" hidden="false" customHeight="false" outlineLevel="0" collapsed="false">
      <c r="A38" s="5" t="s">
        <v>1698</v>
      </c>
      <c r="B38" s="59" t="s">
        <v>97</v>
      </c>
      <c r="C38" s="104" t="n">
        <f aca="false">EXP(B4_Eps*LN(C37*B4_CompMult))</f>
        <v>1</v>
      </c>
      <c r="D38" s="104" t="n">
        <f aca="false">EXP(B4_Eps*LN(D37*B4_CompMult))</f>
        <v>1</v>
      </c>
      <c r="E38" s="104" t="n">
        <f aca="false">EXP(B4_Eps*LN(E37*B4_CompMult))</f>
        <v>1</v>
      </c>
    </row>
    <row r="40" customFormat="false" ht="15" hidden="false" customHeight="false" outlineLevel="0" collapsed="false">
      <c r="A40" s="73" t="s">
        <v>1699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1700</v>
      </c>
      <c r="B41" s="59" t="s">
        <v>795</v>
      </c>
      <c r="C41" s="123" t="n">
        <f aca="false">INDEX(B4_PriceIn,1,1)*(1-B4_Disc)*C38</f>
        <v>0.08</v>
      </c>
      <c r="D41" s="123" t="n">
        <f aca="false">INDEX(B4_PriceIn,1,2)*(1-B4_Disc)*D38</f>
        <v>1.6</v>
      </c>
      <c r="E41" s="123" t="n">
        <f aca="false">INDEX(B4_PriceIn,1,3)*(1-B4_Disc)*E38</f>
        <v>8</v>
      </c>
    </row>
    <row r="42" customFormat="false" ht="15" hidden="false" customHeight="false" outlineLevel="0" collapsed="false">
      <c r="A42" s="5" t="s">
        <v>1701</v>
      </c>
      <c r="B42" s="59" t="s">
        <v>795</v>
      </c>
      <c r="C42" s="123" t="n">
        <f aca="false">INDEX(B4_PriceCache,1,1)*(1-B4_Disc)*C38</f>
        <v>0.008</v>
      </c>
      <c r="D42" s="123" t="n">
        <f aca="false">INDEX(B4_PriceCache,1,2)*(1-B4_Disc)*D38</f>
        <v>0.16</v>
      </c>
      <c r="E42" s="123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1702</v>
      </c>
      <c r="B43" s="59" t="s">
        <v>795</v>
      </c>
      <c r="C43" s="123" t="n">
        <f aca="false">INDEX(B4_PriceOut,1,1)*(1-B4_Disc)*C38</f>
        <v>0.4</v>
      </c>
      <c r="D43" s="123" t="n">
        <f aca="false">INDEX(B4_PriceOut,1,2)*(1-B4_Disc)*D38</f>
        <v>8</v>
      </c>
      <c r="E43" s="123" t="n">
        <f aca="false">INDEX(B4_PriceOut,1,3)*(1-B4_Disc)*E38</f>
        <v>40</v>
      </c>
    </row>
    <row r="44" customFormat="false" ht="15" hidden="false" customHeight="false" outlineLevel="0" collapsed="false">
      <c r="A44" s="5" t="s">
        <v>1703</v>
      </c>
      <c r="B44" s="59" t="s">
        <v>795</v>
      </c>
      <c r="C44" s="123" t="n">
        <f aca="false">INDEX(B4_PriceOut,1,1)*(1-B4_Disc)*C38</f>
        <v>0.4</v>
      </c>
      <c r="D44" s="123" t="n">
        <f aca="false">INDEX(B4_PriceOut,1,2)*(1-B4_Disc)*D38</f>
        <v>8</v>
      </c>
      <c r="E44" s="123" t="n">
        <f aca="false">INDEX(B4_PriceOut,1,3)*(1-B4_Disc)*E38</f>
        <v>40</v>
      </c>
    </row>
    <row r="45" customFormat="false" ht="29.85" hidden="false" customHeight="false" outlineLevel="0" collapsed="false">
      <c r="A45" s="5" t="s">
        <v>1704</v>
      </c>
      <c r="B45" s="59" t="s">
        <v>795</v>
      </c>
      <c r="C45" s="123" t="n">
        <f aca="false">(INDEX(B4_ISL,1,1)*((1-B4_CacheHit)*C41+B4_CacheHit*C42)+INDEX(B4_OSL,1,1)*C44)/(INDEX(B4_ISL,1,1)+INDEX(B4_OSL,1,1))</f>
        <v>0.0803555555555556</v>
      </c>
      <c r="D45" s="123" t="n">
        <f aca="false">(INDEX(B4_ISL,1,2)*((1-B4_CacheHit)*D41+B4_CacheHit*D42)+INDEX(B4_OSL,1,2)*D44)/(INDEX(B4_ISL,1,2)+INDEX(B4_OSL,1,2))</f>
        <v>1.60711111111111</v>
      </c>
      <c r="E45" s="123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1705</v>
      </c>
      <c r="B46" s="59" t="s">
        <v>795</v>
      </c>
      <c r="C46" s="123" t="n">
        <f aca="false">C25*(1-B4_Disc)</f>
        <v>0.0803555555555556</v>
      </c>
      <c r="D46" s="123" t="n">
        <f aca="false">D25*(1-B4_Disc)</f>
        <v>1.60711111111111</v>
      </c>
      <c r="E46" s="123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1706</v>
      </c>
    </row>
    <row r="2" customFormat="false" ht="15" hidden="false" customHeight="false" outlineLevel="0" collapsed="false">
      <c r="A2" s="71" t="s">
        <v>1707</v>
      </c>
    </row>
    <row r="4" customFormat="false" ht="15" hidden="false" customHeight="false" outlineLevel="0" collapsed="false">
      <c r="A4" s="57" t="s">
        <v>165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440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66" t="s">
        <v>1709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1710</v>
      </c>
      <c r="B10" s="59" t="s">
        <v>1711</v>
      </c>
      <c r="C10" s="152" t="n">
        <f aca="false">B4_SSDcost/(B4_SSDlife*8760)</f>
        <v>2.28310502283105E-006</v>
      </c>
      <c r="D10" s="152" t="n">
        <f aca="false">B4_SSDcost/(B4_SSDlife*8760)</f>
        <v>2.28310502283105E-006</v>
      </c>
      <c r="E10" s="152" t="n">
        <f aca="false">B4_SSDcost/(B4_SSDlife*8760)</f>
        <v>2.28310502283105E-006</v>
      </c>
      <c r="F10" s="152" t="n">
        <f aca="false">B4_SSDcost/(B4_SSDlife*8760)</f>
        <v>2.28310502283105E-006</v>
      </c>
      <c r="G10" s="152" t="n">
        <f aca="false">B4_SSDcost/(B4_SSDlife*8760)</f>
        <v>2.28310502283105E-006</v>
      </c>
      <c r="H10" s="152" t="n">
        <f aca="false">B4_SSDcost/(B4_SSDlife*8760)</f>
        <v>2.28310502283105E-006</v>
      </c>
      <c r="I10" s="152" t="n">
        <f aca="false">B4_SSDcost/(B4_SSDlife*8760)</f>
        <v>2.28310502283105E-006</v>
      </c>
      <c r="J10" s="152" t="n">
        <f aca="false">B4_SSDcost/(B4_SSDlife*8760)</f>
        <v>2.28310502283105E-006</v>
      </c>
      <c r="K10" s="152" t="n">
        <f aca="false">B4_SSDcost/(B4_SSDlife*8760)</f>
        <v>2.28310502283105E-006</v>
      </c>
      <c r="L10" s="152" t="n">
        <f aca="false">B4_SSDcost/(B4_SSDlife*8760)</f>
        <v>2.28310502283105E-006</v>
      </c>
      <c r="M10" s="152" t="n">
        <f aca="false">B4_SSDcost/(B4_SSDlife*8760)</f>
        <v>2.28310502283105E-006</v>
      </c>
      <c r="N10" s="152" t="n">
        <f aca="false">B4_SSDcost/(B4_SSDlife*8760)</f>
        <v>2.28310502283105E-006</v>
      </c>
      <c r="O10" s="152" t="n">
        <f aca="false">B4_SSDcost/(B4_SSDlife*8760)</f>
        <v>2.28310502283105E-006</v>
      </c>
      <c r="P10" s="152" t="n">
        <f aca="false">B4_SSDcost/(B4_SSDlife*8760)</f>
        <v>2.28310502283105E-006</v>
      </c>
      <c r="Q10" s="152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1712</v>
      </c>
      <c r="B11" s="59" t="s">
        <v>1711</v>
      </c>
      <c r="C11" s="152" t="n">
        <f aca="false">B4_DRAMcost/(B4_DRAMlife*8760)</f>
        <v>0.000285388127853881</v>
      </c>
      <c r="D11" s="152" t="n">
        <f aca="false">B4_DRAMcost/(B4_DRAMlife*8760)</f>
        <v>0.000285388127853881</v>
      </c>
      <c r="E11" s="152" t="n">
        <f aca="false">B4_DRAMcost/(B4_DRAMlife*8760)</f>
        <v>0.000285388127853881</v>
      </c>
      <c r="F11" s="152" t="n">
        <f aca="false">B4_DRAMcost/(B4_DRAMlife*8760)</f>
        <v>0.000285388127853881</v>
      </c>
      <c r="G11" s="152" t="n">
        <f aca="false">B4_DRAMcost/(B4_DRAMlife*8760)</f>
        <v>0.000285388127853881</v>
      </c>
      <c r="H11" s="152" t="n">
        <f aca="false">B4_DRAMcost/(B4_DRAMlife*8760)</f>
        <v>0.000285388127853881</v>
      </c>
      <c r="I11" s="152" t="n">
        <f aca="false">B4_DRAMcost/(B4_DRAMlife*8760)</f>
        <v>0.000285388127853881</v>
      </c>
      <c r="J11" s="152" t="n">
        <f aca="false">B4_DRAMcost/(B4_DRAMlife*8760)</f>
        <v>0.000285388127853881</v>
      </c>
      <c r="K11" s="152" t="n">
        <f aca="false">B4_DRAMcost/(B4_DRAMlife*8760)</f>
        <v>0.000285388127853881</v>
      </c>
      <c r="L11" s="152" t="n">
        <f aca="false">B4_DRAMcost/(B4_DRAMlife*8760)</f>
        <v>0.000285388127853881</v>
      </c>
      <c r="M11" s="152" t="n">
        <f aca="false">B4_DRAMcost/(B4_DRAMlife*8760)</f>
        <v>0.000285388127853881</v>
      </c>
      <c r="N11" s="152" t="n">
        <f aca="false">B4_DRAMcost/(B4_DRAMlife*8760)</f>
        <v>0.000285388127853881</v>
      </c>
      <c r="O11" s="152" t="n">
        <f aca="false">B4_DRAMcost/(B4_DRAMlife*8760)</f>
        <v>0.000285388127853881</v>
      </c>
      <c r="P11" s="152" t="n">
        <f aca="false">B4_DRAMcost/(B4_DRAMlife*8760)</f>
        <v>0.000285388127853881</v>
      </c>
      <c r="Q11" s="152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1713</v>
      </c>
      <c r="B12" s="59" t="s">
        <v>1711</v>
      </c>
      <c r="C12" s="153" t="n">
        <f aca="false">Unit_Cost!C$8/INDEX(Spec_Rack!$C$25:$G$25,1,C$6)</f>
        <v>0.0134955607522832</v>
      </c>
      <c r="D12" s="153" t="n">
        <f aca="false">Unit_Cost!D$8/INDEX(Spec_Rack!$C$25:$G$25,1,D$6)</f>
        <v>0.0192824568481987</v>
      </c>
      <c r="E12" s="153" t="n">
        <f aca="false">Unit_Cost!E$8/INDEX(Spec_Rack!$C$25:$G$25,1,E$6)</f>
        <v>0.0331150706309994</v>
      </c>
      <c r="F12" s="153" t="n">
        <f aca="false">Unit_Cost!F$8/INDEX(Spec_Rack!$C$25:$G$25,1,F$6)</f>
        <v>0.0080872480876766</v>
      </c>
      <c r="G12" s="153" t="n">
        <f aca="false">Unit_Cost!G$8/INDEX(Spec_Rack!$C$25:$G$25,1,G$6)</f>
        <v>0.0107981774006494</v>
      </c>
      <c r="H12" s="153" t="n">
        <f aca="false">Unit_Cost!H$8/INDEX(Spec_Rack!$C$25:$G$25,1,H$6)</f>
        <v>0.0175137756908532</v>
      </c>
      <c r="I12" s="153" t="n">
        <f aca="false">Unit_Cost!I$8/INDEX(Spec_Rack!$C$25:$G$25,1,I$6)</f>
        <v>0.00686022195155025</v>
      </c>
      <c r="J12" s="153" t="n">
        <f aca="false">Unit_Cost!J$8/INDEX(Spec_Rack!$C$25:$G$25,1,J$6)</f>
        <v>0.0088603736572776</v>
      </c>
      <c r="K12" s="153" t="n">
        <f aca="false">Unit_Cost!K$8/INDEX(Spec_Rack!$C$25:$G$25,1,K$6)</f>
        <v>0.0150852181439048</v>
      </c>
      <c r="L12" s="153" t="n">
        <f aca="false">Unit_Cost!L$8/INDEX(Spec_Rack!$C$25:$G$25,1,L$6)</f>
        <v>0.0129234011848593</v>
      </c>
      <c r="M12" s="153" t="n">
        <f aca="false">Unit_Cost!M$8/INDEX(Spec_Rack!$C$25:$G$25,1,M$6)</f>
        <v>0.0166099021084798</v>
      </c>
      <c r="N12" s="153" t="n">
        <f aca="false">Unit_Cost!N$8/INDEX(Spec_Rack!$C$25:$G$25,1,N$6)</f>
        <v>0.0268338112088143</v>
      </c>
      <c r="O12" s="153" t="n">
        <f aca="false">Unit_Cost!O$8/INDEX(Spec_Rack!$C$25:$G$25,1,O$6)</f>
        <v>0.00578265059127264</v>
      </c>
      <c r="P12" s="153" t="n">
        <f aca="false">Unit_Cost!P$8/INDEX(Spec_Rack!$C$25:$G$25,1,P$6)</f>
        <v>0.00878883600486841</v>
      </c>
      <c r="Q12" s="153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1714</v>
      </c>
      <c r="B13" s="59" t="s">
        <v>1711</v>
      </c>
      <c r="C13" s="152" t="n">
        <f aca="false">CHOOSE(B4_StoreTier,C10,C11,C12)</f>
        <v>0.000285388127853881</v>
      </c>
      <c r="D13" s="152" t="n">
        <f aca="false">CHOOSE(B4_StoreTier,D10,D11,D12)</f>
        <v>0.000285388127853881</v>
      </c>
      <c r="E13" s="152" t="n">
        <f aca="false">CHOOSE(B4_StoreTier,E10,E11,E12)</f>
        <v>0.000285388127853881</v>
      </c>
      <c r="F13" s="152" t="n">
        <f aca="false">CHOOSE(B4_StoreTier,F10,F11,F12)</f>
        <v>0.000285388127853881</v>
      </c>
      <c r="G13" s="152" t="n">
        <f aca="false">CHOOSE(B4_StoreTier,G10,G11,G12)</f>
        <v>0.000285388127853881</v>
      </c>
      <c r="H13" s="152" t="n">
        <f aca="false">CHOOSE(B4_StoreTier,H10,H11,H12)</f>
        <v>0.000285388127853881</v>
      </c>
      <c r="I13" s="152" t="n">
        <f aca="false">CHOOSE(B4_StoreTier,I10,I11,I12)</f>
        <v>0.000285388127853881</v>
      </c>
      <c r="J13" s="152" t="n">
        <f aca="false">CHOOSE(B4_StoreTier,J10,J11,J12)</f>
        <v>0.000285388127853881</v>
      </c>
      <c r="K13" s="152" t="n">
        <f aca="false">CHOOSE(B4_StoreTier,K10,K11,K12)</f>
        <v>0.000285388127853881</v>
      </c>
      <c r="L13" s="152" t="n">
        <f aca="false">CHOOSE(B4_StoreTier,L10,L11,L12)</f>
        <v>0.000285388127853881</v>
      </c>
      <c r="M13" s="152" t="n">
        <f aca="false">CHOOSE(B4_StoreTier,M10,M11,M12)</f>
        <v>0.000285388127853881</v>
      </c>
      <c r="N13" s="152" t="n">
        <f aca="false">CHOOSE(B4_StoreTier,N10,N11,N12)</f>
        <v>0.000285388127853881</v>
      </c>
      <c r="O13" s="152" t="n">
        <f aca="false">CHOOSE(B4_StoreTier,O10,O11,O12)</f>
        <v>0.000285388127853881</v>
      </c>
      <c r="P13" s="152" t="n">
        <f aca="false">CHOOSE(B4_StoreTier,P10,P11,P12)</f>
        <v>0.000285388127853881</v>
      </c>
      <c r="Q13" s="152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249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1715</v>
      </c>
      <c r="B16" s="59" t="s">
        <v>258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1716</v>
      </c>
      <c r="B17" s="59" t="s">
        <v>795</v>
      </c>
      <c r="C17" s="154" t="n">
        <f aca="false">C16*1000000/1000000000*C$13*B4_Retain/B4_Hits</f>
        <v>1.32943302891933E-005</v>
      </c>
      <c r="D17" s="154" t="n">
        <f aca="false">D16*1000000/1000000000*D$13*B4_Retain/B4_Hits</f>
        <v>1.32943302891933E-005</v>
      </c>
      <c r="E17" s="154" t="n">
        <f aca="false">E16*1000000/1000000000*E$13*B4_Retain/B4_Hits</f>
        <v>1.32943302891933E-005</v>
      </c>
      <c r="F17" s="154" t="n">
        <f aca="false">F16*1000000/1000000000*F$13*B4_Retain/B4_Hits</f>
        <v>1.32943302891933E-005</v>
      </c>
      <c r="G17" s="154" t="n">
        <f aca="false">G16*1000000/1000000000*G$13*B4_Retain/B4_Hits</f>
        <v>1.32943302891933E-005</v>
      </c>
      <c r="H17" s="154" t="n">
        <f aca="false">H16*1000000/1000000000*H$13*B4_Retain/B4_Hits</f>
        <v>1.32943302891933E-005</v>
      </c>
      <c r="I17" s="154" t="n">
        <f aca="false">I16*1000000/1000000000*I$13*B4_Retain/B4_Hits</f>
        <v>1.32943302891933E-005</v>
      </c>
      <c r="J17" s="154" t="n">
        <f aca="false">J16*1000000/1000000000*J$13*B4_Retain/B4_Hits</f>
        <v>1.32943302891933E-005</v>
      </c>
      <c r="K17" s="154" t="n">
        <f aca="false">K16*1000000/1000000000*K$13*B4_Retain/B4_Hits</f>
        <v>1.32943302891933E-005</v>
      </c>
      <c r="L17" s="154" t="n">
        <f aca="false">L16*1000000/1000000000*L$13*B4_Retain/B4_Hits</f>
        <v>1.32943302891933E-005</v>
      </c>
      <c r="M17" s="154" t="n">
        <f aca="false">M16*1000000/1000000000*M$13*B4_Retain/B4_Hits</f>
        <v>1.32943302891933E-005</v>
      </c>
      <c r="N17" s="154" t="n">
        <f aca="false">N16*1000000/1000000000*N$13*B4_Retain/B4_Hits</f>
        <v>1.32943302891933E-005</v>
      </c>
      <c r="O17" s="154" t="n">
        <f aca="false">O16*1000000/1000000000*O$13*B4_Retain/B4_Hits</f>
        <v>1.32943302891933E-005</v>
      </c>
      <c r="P17" s="154" t="n">
        <f aca="false">P16*1000000/1000000000*P$13*B4_Retain/B4_Hits</f>
        <v>1.32943302891933E-005</v>
      </c>
      <c r="Q17" s="154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1717</v>
      </c>
      <c r="B18" s="59" t="s">
        <v>97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1718</v>
      </c>
      <c r="B19" s="59" t="s">
        <v>93</v>
      </c>
      <c r="C19" s="100" t="n">
        <f aca="false">C17/INDEX(B4_EffCache,1,1)</f>
        <v>0.00166179128614916</v>
      </c>
      <c r="D19" s="100" t="n">
        <f aca="false">D17/INDEX(B4_EffCache,1,1)</f>
        <v>0.00166179128614916</v>
      </c>
      <c r="E19" s="100" t="n">
        <f aca="false">E17/INDEX(B4_EffCache,1,1)</f>
        <v>0.00166179128614916</v>
      </c>
      <c r="F19" s="100" t="n">
        <f aca="false">F17/INDEX(B4_EffCache,1,1)</f>
        <v>0.00166179128614916</v>
      </c>
      <c r="G19" s="100" t="n">
        <f aca="false">G17/INDEX(B4_EffCache,1,1)</f>
        <v>0.00166179128614916</v>
      </c>
      <c r="H19" s="100" t="n">
        <f aca="false">H17/INDEX(B4_EffCache,1,1)</f>
        <v>0.00166179128614916</v>
      </c>
      <c r="I19" s="100" t="n">
        <f aca="false">I17/INDEX(B4_EffCache,1,1)</f>
        <v>0.00166179128614916</v>
      </c>
      <c r="J19" s="100" t="n">
        <f aca="false">J17/INDEX(B4_EffCache,1,1)</f>
        <v>0.00166179128614916</v>
      </c>
      <c r="K19" s="100" t="n">
        <f aca="false">K17/INDEX(B4_EffCache,1,1)</f>
        <v>0.00166179128614916</v>
      </c>
      <c r="L19" s="100" t="n">
        <f aca="false">L17/INDEX(B4_EffCache,1,1)</f>
        <v>0.00166179128614916</v>
      </c>
      <c r="M19" s="100" t="n">
        <f aca="false">M17/INDEX(B4_EffCache,1,1)</f>
        <v>0.00166179128614916</v>
      </c>
      <c r="N19" s="100" t="n">
        <f aca="false">N17/INDEX(B4_EffCache,1,1)</f>
        <v>0.00166179128614916</v>
      </c>
      <c r="O19" s="100" t="n">
        <f aca="false">O17/INDEX(B4_EffCache,1,1)</f>
        <v>0.00166179128614916</v>
      </c>
      <c r="P19" s="100" t="n">
        <f aca="false">P17/INDEX(B4_EffCache,1,1)</f>
        <v>0.00166179128614916</v>
      </c>
      <c r="Q19" s="100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250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1715</v>
      </c>
      <c r="B22" s="59" t="s">
        <v>258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1719</v>
      </c>
      <c r="B23" s="59" t="s">
        <v>795</v>
      </c>
      <c r="C23" s="154" t="n">
        <f aca="false">C22*1000000/1000000000*C$13*B4_Retain/B4_Hits</f>
        <v>1.8859398782344E-005</v>
      </c>
      <c r="D23" s="154" t="n">
        <f aca="false">D22*1000000/1000000000*D$13*B4_Retain/B4_Hits</f>
        <v>1.8859398782344E-005</v>
      </c>
      <c r="E23" s="154" t="n">
        <f aca="false">E22*1000000/1000000000*E$13*B4_Retain/B4_Hits</f>
        <v>1.8859398782344E-005</v>
      </c>
      <c r="F23" s="154" t="n">
        <f aca="false">F22*1000000/1000000000*F$13*B4_Retain/B4_Hits</f>
        <v>1.8859398782344E-005</v>
      </c>
      <c r="G23" s="154" t="n">
        <f aca="false">G22*1000000/1000000000*G$13*B4_Retain/B4_Hits</f>
        <v>1.8859398782344E-005</v>
      </c>
      <c r="H23" s="154" t="n">
        <f aca="false">H22*1000000/1000000000*H$13*B4_Retain/B4_Hits</f>
        <v>1.8859398782344E-005</v>
      </c>
      <c r="I23" s="154" t="n">
        <f aca="false">I22*1000000/1000000000*I$13*B4_Retain/B4_Hits</f>
        <v>1.8859398782344E-005</v>
      </c>
      <c r="J23" s="154" t="n">
        <f aca="false">J22*1000000/1000000000*J$13*B4_Retain/B4_Hits</f>
        <v>1.8859398782344E-005</v>
      </c>
      <c r="K23" s="154" t="n">
        <f aca="false">K22*1000000/1000000000*K$13*B4_Retain/B4_Hits</f>
        <v>1.8859398782344E-005</v>
      </c>
      <c r="L23" s="154" t="n">
        <f aca="false">L22*1000000/1000000000*L$13*B4_Retain/B4_Hits</f>
        <v>1.8859398782344E-005</v>
      </c>
      <c r="M23" s="154" t="n">
        <f aca="false">M22*1000000/1000000000*M$13*B4_Retain/B4_Hits</f>
        <v>1.8859398782344E-005</v>
      </c>
      <c r="N23" s="154" t="n">
        <f aca="false">N22*1000000/1000000000*N$13*B4_Retain/B4_Hits</f>
        <v>1.8859398782344E-005</v>
      </c>
      <c r="O23" s="154" t="n">
        <f aca="false">O22*1000000/1000000000*O$13*B4_Retain/B4_Hits</f>
        <v>1.8859398782344E-005</v>
      </c>
      <c r="P23" s="154" t="n">
        <f aca="false">P22*1000000/1000000000*P$13*B4_Retain/B4_Hits</f>
        <v>1.8859398782344E-005</v>
      </c>
      <c r="Q23" s="154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1717</v>
      </c>
      <c r="B24" s="59" t="s">
        <v>97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1718</v>
      </c>
      <c r="B25" s="59" t="s">
        <v>93</v>
      </c>
      <c r="C25" s="100" t="n">
        <f aca="false">C23/INDEX(B4_EffCache,1,2)</f>
        <v>0.00011787124238965</v>
      </c>
      <c r="D25" s="100" t="n">
        <f aca="false">D23/INDEX(B4_EffCache,1,2)</f>
        <v>0.00011787124238965</v>
      </c>
      <c r="E25" s="100" t="n">
        <f aca="false">E23/INDEX(B4_EffCache,1,2)</f>
        <v>0.00011787124238965</v>
      </c>
      <c r="F25" s="100" t="n">
        <f aca="false">F23/INDEX(B4_EffCache,1,2)</f>
        <v>0.00011787124238965</v>
      </c>
      <c r="G25" s="100" t="n">
        <f aca="false">G23/INDEX(B4_EffCache,1,2)</f>
        <v>0.00011787124238965</v>
      </c>
      <c r="H25" s="100" t="n">
        <f aca="false">H23/INDEX(B4_EffCache,1,2)</f>
        <v>0.00011787124238965</v>
      </c>
      <c r="I25" s="100" t="n">
        <f aca="false">I23/INDEX(B4_EffCache,1,2)</f>
        <v>0.00011787124238965</v>
      </c>
      <c r="J25" s="100" t="n">
        <f aca="false">J23/INDEX(B4_EffCache,1,2)</f>
        <v>0.00011787124238965</v>
      </c>
      <c r="K25" s="100" t="n">
        <f aca="false">K23/INDEX(B4_EffCache,1,2)</f>
        <v>0.00011787124238965</v>
      </c>
      <c r="L25" s="100" t="n">
        <f aca="false">L23/INDEX(B4_EffCache,1,2)</f>
        <v>0.00011787124238965</v>
      </c>
      <c r="M25" s="100" t="n">
        <f aca="false">M23/INDEX(B4_EffCache,1,2)</f>
        <v>0.00011787124238965</v>
      </c>
      <c r="N25" s="100" t="n">
        <f aca="false">N23/INDEX(B4_EffCache,1,2)</f>
        <v>0.00011787124238965</v>
      </c>
      <c r="O25" s="100" t="n">
        <f aca="false">O23/INDEX(B4_EffCache,1,2)</f>
        <v>0.00011787124238965</v>
      </c>
      <c r="P25" s="100" t="n">
        <f aca="false">P23/INDEX(B4_EffCache,1,2)</f>
        <v>0.00011787124238965</v>
      </c>
      <c r="Q25" s="100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251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1715</v>
      </c>
      <c r="B28" s="59" t="s">
        <v>258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1720</v>
      </c>
      <c r="B29" s="59" t="s">
        <v>795</v>
      </c>
      <c r="C29" s="154" t="n">
        <f aca="false">C28*1000000/1000000000*C$13*B4_Retain/B4_Hits</f>
        <v>0.000273972602739726</v>
      </c>
      <c r="D29" s="154" t="n">
        <f aca="false">D28*1000000/1000000000*D$13*B4_Retain/B4_Hits</f>
        <v>0.000273972602739726</v>
      </c>
      <c r="E29" s="154" t="n">
        <f aca="false">E28*1000000/1000000000*E$13*B4_Retain/B4_Hits</f>
        <v>0.000273972602739726</v>
      </c>
      <c r="F29" s="154" t="n">
        <f aca="false">F28*1000000/1000000000*F$13*B4_Retain/B4_Hits</f>
        <v>0.000273972602739726</v>
      </c>
      <c r="G29" s="154" t="n">
        <f aca="false">G28*1000000/1000000000*G$13*B4_Retain/B4_Hits</f>
        <v>0.000273972602739726</v>
      </c>
      <c r="H29" s="154" t="n">
        <f aca="false">H28*1000000/1000000000*H$13*B4_Retain/B4_Hits</f>
        <v>0.000273972602739726</v>
      </c>
      <c r="I29" s="154" t="n">
        <f aca="false">I28*1000000/1000000000*I$13*B4_Retain/B4_Hits</f>
        <v>0.000273972602739726</v>
      </c>
      <c r="J29" s="154" t="n">
        <f aca="false">J28*1000000/1000000000*J$13*B4_Retain/B4_Hits</f>
        <v>0.000273972602739726</v>
      </c>
      <c r="K29" s="154" t="n">
        <f aca="false">K28*1000000/1000000000*K$13*B4_Retain/B4_Hits</f>
        <v>0.000273972602739726</v>
      </c>
      <c r="L29" s="154" t="n">
        <f aca="false">L28*1000000/1000000000*L$13*B4_Retain/B4_Hits</f>
        <v>0.000273972602739726</v>
      </c>
      <c r="M29" s="154" t="n">
        <f aca="false">M28*1000000/1000000000*M$13*B4_Retain/B4_Hits</f>
        <v>0.000273972602739726</v>
      </c>
      <c r="N29" s="154" t="n">
        <f aca="false">N28*1000000/1000000000*N$13*B4_Retain/B4_Hits</f>
        <v>0.000273972602739726</v>
      </c>
      <c r="O29" s="154" t="n">
        <f aca="false">O28*1000000/1000000000*O$13*B4_Retain/B4_Hits</f>
        <v>0.000273972602739726</v>
      </c>
      <c r="P29" s="154" t="n">
        <f aca="false">P28*1000000/1000000000*P$13*B4_Retain/B4_Hits</f>
        <v>0.000273972602739726</v>
      </c>
      <c r="Q29" s="154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1717</v>
      </c>
      <c r="B30" s="59" t="s">
        <v>97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1718</v>
      </c>
      <c r="B31" s="59" t="s">
        <v>93</v>
      </c>
      <c r="C31" s="100" t="n">
        <f aca="false">C29/INDEX(B4_EffCache,1,3)</f>
        <v>0.000342465753424657</v>
      </c>
      <c r="D31" s="100" t="n">
        <f aca="false">D29/INDEX(B4_EffCache,1,3)</f>
        <v>0.000342465753424657</v>
      </c>
      <c r="E31" s="100" t="n">
        <f aca="false">E29/INDEX(B4_EffCache,1,3)</f>
        <v>0.000342465753424657</v>
      </c>
      <c r="F31" s="100" t="n">
        <f aca="false">F29/INDEX(B4_EffCache,1,3)</f>
        <v>0.000342465753424657</v>
      </c>
      <c r="G31" s="100" t="n">
        <f aca="false">G29/INDEX(B4_EffCache,1,3)</f>
        <v>0.000342465753424657</v>
      </c>
      <c r="H31" s="100" t="n">
        <f aca="false">H29/INDEX(B4_EffCache,1,3)</f>
        <v>0.000342465753424657</v>
      </c>
      <c r="I31" s="100" t="n">
        <f aca="false">I29/INDEX(B4_EffCache,1,3)</f>
        <v>0.000342465753424657</v>
      </c>
      <c r="J31" s="100" t="n">
        <f aca="false">J29/INDEX(B4_EffCache,1,3)</f>
        <v>0.000342465753424657</v>
      </c>
      <c r="K31" s="100" t="n">
        <f aca="false">K29/INDEX(B4_EffCache,1,3)</f>
        <v>0.000342465753424657</v>
      </c>
      <c r="L31" s="100" t="n">
        <f aca="false">L29/INDEX(B4_EffCache,1,3)</f>
        <v>0.000342465753424657</v>
      </c>
      <c r="M31" s="100" t="n">
        <f aca="false">M29/INDEX(B4_EffCache,1,3)</f>
        <v>0.000342465753424657</v>
      </c>
      <c r="N31" s="100" t="n">
        <f aca="false">N29/INDEX(B4_EffCache,1,3)</f>
        <v>0.000342465753424657</v>
      </c>
      <c r="O31" s="100" t="n">
        <f aca="false">O29/INDEX(B4_EffCache,1,3)</f>
        <v>0.000342465753424657</v>
      </c>
      <c r="P31" s="100" t="n">
        <f aca="false">P29/INDEX(B4_EffCache,1,3)</f>
        <v>0.000342465753424657</v>
      </c>
      <c r="Q31" s="100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1721</v>
      </c>
    </row>
    <row r="2" customFormat="false" ht="15" hidden="false" customHeight="false" outlineLevel="0" collapsed="false">
      <c r="A2" s="71" t="s">
        <v>1722</v>
      </c>
    </row>
    <row r="4" customFormat="false" ht="15" hidden="false" customHeight="false" outlineLevel="0" collapsed="false">
      <c r="A4" s="57" t="s">
        <v>165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440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1723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1724</v>
      </c>
      <c r="B10" s="59" t="s">
        <v>85</v>
      </c>
      <c r="C10" s="112" t="n">
        <f aca="false">B4_Serve</f>
        <v>0.41</v>
      </c>
      <c r="D10" s="112" t="n">
        <f aca="false">B4_Serve</f>
        <v>0.41</v>
      </c>
      <c r="E10" s="112" t="n">
        <f aca="false">B4_Serve</f>
        <v>0.41</v>
      </c>
      <c r="F10" s="112" t="n">
        <f aca="false">B4_Serve</f>
        <v>0.41</v>
      </c>
      <c r="G10" s="112" t="n">
        <f aca="false">B4_Serve</f>
        <v>0.41</v>
      </c>
      <c r="H10" s="112" t="n">
        <f aca="false">B4_Serve</f>
        <v>0.41</v>
      </c>
      <c r="I10" s="112" t="n">
        <f aca="false">B4_Serve</f>
        <v>0.41</v>
      </c>
      <c r="J10" s="112" t="n">
        <f aca="false">B4_Serve</f>
        <v>0.41</v>
      </c>
      <c r="K10" s="112" t="n">
        <f aca="false">B4_Serve</f>
        <v>0.41</v>
      </c>
      <c r="L10" s="112" t="n">
        <f aca="false">B4_Serve</f>
        <v>0.41</v>
      </c>
      <c r="M10" s="112" t="n">
        <f aca="false">B4_Serve</f>
        <v>0.41</v>
      </c>
      <c r="N10" s="112" t="n">
        <f aca="false">B4_Serve</f>
        <v>0.41</v>
      </c>
      <c r="O10" s="112" t="n">
        <f aca="false">B4_Serve</f>
        <v>0.41</v>
      </c>
      <c r="P10" s="112" t="n">
        <f aca="false">B4_Serve</f>
        <v>0.41</v>
      </c>
      <c r="Q10" s="112" t="n">
        <f aca="false">B4_Serve</f>
        <v>0.41</v>
      </c>
    </row>
    <row r="11" customFormat="false" ht="15" hidden="false" customHeight="false" outlineLevel="0" collapsed="false">
      <c r="A11" s="5" t="s">
        <v>1725</v>
      </c>
      <c r="B11" s="59" t="s">
        <v>85</v>
      </c>
      <c r="C11" s="104" t="n">
        <f aca="false">B4_Serve*(1-B4_Free)</f>
        <v>0.2214</v>
      </c>
      <c r="D11" s="104" t="n">
        <f aca="false">B4_Serve*(1-B4_Free)</f>
        <v>0.2214</v>
      </c>
      <c r="E11" s="104" t="n">
        <f aca="false">B4_Serve*(1-B4_Free)</f>
        <v>0.2214</v>
      </c>
      <c r="F11" s="104" t="n">
        <f aca="false">B4_Serve*(1-B4_Free)</f>
        <v>0.2214</v>
      </c>
      <c r="G11" s="104" t="n">
        <f aca="false">B4_Serve*(1-B4_Free)</f>
        <v>0.2214</v>
      </c>
      <c r="H11" s="104" t="n">
        <f aca="false">B4_Serve*(1-B4_Free)</f>
        <v>0.2214</v>
      </c>
      <c r="I11" s="104" t="n">
        <f aca="false">B4_Serve*(1-B4_Free)</f>
        <v>0.2214</v>
      </c>
      <c r="J11" s="104" t="n">
        <f aca="false">B4_Serve*(1-B4_Free)</f>
        <v>0.2214</v>
      </c>
      <c r="K11" s="104" t="n">
        <f aca="false">B4_Serve*(1-B4_Free)</f>
        <v>0.2214</v>
      </c>
      <c r="L11" s="104" t="n">
        <f aca="false">B4_Serve*(1-B4_Free)</f>
        <v>0.2214</v>
      </c>
      <c r="M11" s="104" t="n">
        <f aca="false">B4_Serve*(1-B4_Free)</f>
        <v>0.2214</v>
      </c>
      <c r="N11" s="104" t="n">
        <f aca="false">B4_Serve*(1-B4_Free)</f>
        <v>0.2214</v>
      </c>
      <c r="O11" s="104" t="n">
        <f aca="false">B4_Serve*(1-B4_Free)</f>
        <v>0.2214</v>
      </c>
      <c r="P11" s="104" t="n">
        <f aca="false">B4_Serve*(1-B4_Free)</f>
        <v>0.2214</v>
      </c>
      <c r="Q11" s="104" t="n">
        <f aca="false">B4_Serve*(1-B4_Free)</f>
        <v>0.2214</v>
      </c>
    </row>
    <row r="12" customFormat="false" ht="15" hidden="false" customHeight="false" outlineLevel="0" collapsed="false">
      <c r="A12" s="5" t="s">
        <v>1726</v>
      </c>
      <c r="B12" s="59" t="s">
        <v>85</v>
      </c>
      <c r="C12" s="112" t="n">
        <f aca="false">B4_Serve*B4_Free</f>
        <v>0.1886</v>
      </c>
      <c r="D12" s="112" t="n">
        <f aca="false">B4_Serve*B4_Free</f>
        <v>0.1886</v>
      </c>
      <c r="E12" s="112" t="n">
        <f aca="false">B4_Serve*B4_Free</f>
        <v>0.1886</v>
      </c>
      <c r="F12" s="112" t="n">
        <f aca="false">B4_Serve*B4_Free</f>
        <v>0.1886</v>
      </c>
      <c r="G12" s="112" t="n">
        <f aca="false">B4_Serve*B4_Free</f>
        <v>0.1886</v>
      </c>
      <c r="H12" s="112" t="n">
        <f aca="false">B4_Serve*B4_Free</f>
        <v>0.1886</v>
      </c>
      <c r="I12" s="112" t="n">
        <f aca="false">B4_Serve*B4_Free</f>
        <v>0.1886</v>
      </c>
      <c r="J12" s="112" t="n">
        <f aca="false">B4_Serve*B4_Free</f>
        <v>0.1886</v>
      </c>
      <c r="K12" s="112" t="n">
        <f aca="false">B4_Serve*B4_Free</f>
        <v>0.1886</v>
      </c>
      <c r="L12" s="112" t="n">
        <f aca="false">B4_Serve*B4_Free</f>
        <v>0.1886</v>
      </c>
      <c r="M12" s="112" t="n">
        <f aca="false">B4_Serve*B4_Free</f>
        <v>0.1886</v>
      </c>
      <c r="N12" s="112" t="n">
        <f aca="false">B4_Serve*B4_Free</f>
        <v>0.1886</v>
      </c>
      <c r="O12" s="112" t="n">
        <f aca="false">B4_Serve*B4_Free</f>
        <v>0.1886</v>
      </c>
      <c r="P12" s="112" t="n">
        <f aca="false">B4_Serve*B4_Free</f>
        <v>0.1886</v>
      </c>
      <c r="Q12" s="112" t="n">
        <f aca="false">B4_Serve*B4_Free</f>
        <v>0.1886</v>
      </c>
    </row>
    <row r="13" customFormat="false" ht="15" hidden="false" customHeight="false" outlineLevel="0" collapsed="false">
      <c r="A13" s="5" t="s">
        <v>1727</v>
      </c>
      <c r="B13" s="59" t="s">
        <v>85</v>
      </c>
      <c r="C13" s="104" t="n">
        <f aca="false">1-B4_Serve</f>
        <v>0.59</v>
      </c>
      <c r="D13" s="104" t="n">
        <f aca="false">1-B4_Serve</f>
        <v>0.59</v>
      </c>
      <c r="E13" s="104" t="n">
        <f aca="false">1-B4_Serve</f>
        <v>0.59</v>
      </c>
      <c r="F13" s="104" t="n">
        <f aca="false">1-B4_Serve</f>
        <v>0.59</v>
      </c>
      <c r="G13" s="104" t="n">
        <f aca="false">1-B4_Serve</f>
        <v>0.59</v>
      </c>
      <c r="H13" s="104" t="n">
        <f aca="false">1-B4_Serve</f>
        <v>0.59</v>
      </c>
      <c r="I13" s="104" t="n">
        <f aca="false">1-B4_Serve</f>
        <v>0.59</v>
      </c>
      <c r="J13" s="104" t="n">
        <f aca="false">1-B4_Serve</f>
        <v>0.59</v>
      </c>
      <c r="K13" s="104" t="n">
        <f aca="false">1-B4_Serve</f>
        <v>0.59</v>
      </c>
      <c r="L13" s="104" t="n">
        <f aca="false">1-B4_Serve</f>
        <v>0.59</v>
      </c>
      <c r="M13" s="104" t="n">
        <f aca="false">1-B4_Serve</f>
        <v>0.59</v>
      </c>
      <c r="N13" s="104" t="n">
        <f aca="false">1-B4_Serve</f>
        <v>0.59</v>
      </c>
      <c r="O13" s="104" t="n">
        <f aca="false">1-B4_Serve</f>
        <v>0.59</v>
      </c>
      <c r="P13" s="104" t="n">
        <f aca="false">1-B4_Serve</f>
        <v>0.59</v>
      </c>
      <c r="Q13" s="104" t="n">
        <f aca="false">1-B4_Serve</f>
        <v>0.59</v>
      </c>
    </row>
    <row r="14" customFormat="false" ht="15" hidden="false" customHeight="false" outlineLevel="0" collapsed="false">
      <c r="A14" s="5" t="s">
        <v>1728</v>
      </c>
      <c r="B14" s="59" t="s">
        <v>85</v>
      </c>
      <c r="C14" s="112" t="n">
        <f aca="false">(1-B4_Serve)/IF_RDMult</f>
        <v>0.07375</v>
      </c>
      <c r="D14" s="112" t="n">
        <f aca="false">(1-B4_Serve)/IF_RDMult</f>
        <v>0.07375</v>
      </c>
      <c r="E14" s="112" t="n">
        <f aca="false">(1-B4_Serve)/IF_RDMult</f>
        <v>0.07375</v>
      </c>
      <c r="F14" s="112" t="n">
        <f aca="false">(1-B4_Serve)/IF_RDMult</f>
        <v>0.07375</v>
      </c>
      <c r="G14" s="112" t="n">
        <f aca="false">(1-B4_Serve)/IF_RDMult</f>
        <v>0.07375</v>
      </c>
      <c r="H14" s="112" t="n">
        <f aca="false">(1-B4_Serve)/IF_RDMult</f>
        <v>0.07375</v>
      </c>
      <c r="I14" s="112" t="n">
        <f aca="false">(1-B4_Serve)/IF_RDMult</f>
        <v>0.07375</v>
      </c>
      <c r="J14" s="112" t="n">
        <f aca="false">(1-B4_Serve)/IF_RDMult</f>
        <v>0.07375</v>
      </c>
      <c r="K14" s="112" t="n">
        <f aca="false">(1-B4_Serve)/IF_RDMult</f>
        <v>0.07375</v>
      </c>
      <c r="L14" s="112" t="n">
        <f aca="false">(1-B4_Serve)/IF_RDMult</f>
        <v>0.07375</v>
      </c>
      <c r="M14" s="112" t="n">
        <f aca="false">(1-B4_Serve)/IF_RDMult</f>
        <v>0.07375</v>
      </c>
      <c r="N14" s="112" t="n">
        <f aca="false">(1-B4_Serve)/IF_RDMult</f>
        <v>0.07375</v>
      </c>
      <c r="O14" s="112" t="n">
        <f aca="false">(1-B4_Serve)/IF_RDMult</f>
        <v>0.07375</v>
      </c>
      <c r="P14" s="112" t="n">
        <f aca="false">(1-B4_Serve)/IF_RDMult</f>
        <v>0.07375</v>
      </c>
      <c r="Q14" s="112" t="n">
        <f aca="false">(1-B4_Serve)/IF_RDMult</f>
        <v>0.07375</v>
      </c>
    </row>
    <row r="15" customFormat="false" ht="15" hidden="false" customHeight="false" outlineLevel="0" collapsed="false">
      <c r="A15" s="5" t="s">
        <v>1729</v>
      </c>
      <c r="B15" s="59" t="s">
        <v>85</v>
      </c>
      <c r="C15" s="112" t="n">
        <f aca="false">(1-B4_Serve)*(1-1/IF_RDMult)</f>
        <v>0.51625</v>
      </c>
      <c r="D15" s="112" t="n">
        <f aca="false">(1-B4_Serve)*(1-1/IF_RDMult)</f>
        <v>0.51625</v>
      </c>
      <c r="E15" s="112" t="n">
        <f aca="false">(1-B4_Serve)*(1-1/IF_RDMult)</f>
        <v>0.51625</v>
      </c>
      <c r="F15" s="112" t="n">
        <f aca="false">(1-B4_Serve)*(1-1/IF_RDMult)</f>
        <v>0.51625</v>
      </c>
      <c r="G15" s="112" t="n">
        <f aca="false">(1-B4_Serve)*(1-1/IF_RDMult)</f>
        <v>0.51625</v>
      </c>
      <c r="H15" s="112" t="n">
        <f aca="false">(1-B4_Serve)*(1-1/IF_RDMult)</f>
        <v>0.51625</v>
      </c>
      <c r="I15" s="112" t="n">
        <f aca="false">(1-B4_Serve)*(1-1/IF_RDMult)</f>
        <v>0.51625</v>
      </c>
      <c r="J15" s="112" t="n">
        <f aca="false">(1-B4_Serve)*(1-1/IF_RDMult)</f>
        <v>0.51625</v>
      </c>
      <c r="K15" s="112" t="n">
        <f aca="false">(1-B4_Serve)*(1-1/IF_RDMult)</f>
        <v>0.51625</v>
      </c>
      <c r="L15" s="112" t="n">
        <f aca="false">(1-B4_Serve)*(1-1/IF_RDMult)</f>
        <v>0.51625</v>
      </c>
      <c r="M15" s="112" t="n">
        <f aca="false">(1-B4_Serve)*(1-1/IF_RDMult)</f>
        <v>0.51625</v>
      </c>
      <c r="N15" s="112" t="n">
        <f aca="false">(1-B4_Serve)*(1-1/IF_RDMult)</f>
        <v>0.51625</v>
      </c>
      <c r="O15" s="112" t="n">
        <f aca="false">(1-B4_Serve)*(1-1/IF_RDMult)</f>
        <v>0.51625</v>
      </c>
      <c r="P15" s="112" t="n">
        <f aca="false">(1-B4_Serve)*(1-1/IF_RDMult)</f>
        <v>0.51625</v>
      </c>
      <c r="Q15" s="112" t="n">
        <f aca="false">(1-B4_Serve)*(1-1/IF_RDMult)</f>
        <v>0.51625</v>
      </c>
    </row>
    <row r="17" customFormat="false" ht="15" hidden="false" customHeight="false" outlineLevel="0" collapsed="false">
      <c r="A17" s="73" t="s">
        <v>1730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29.85" hidden="false" customHeight="false" outlineLevel="0" collapsed="false">
      <c r="A18" s="5" t="s">
        <v>1731</v>
      </c>
      <c r="B18" s="58" t="s">
        <v>1732</v>
      </c>
      <c r="C18" s="109" t="n">
        <f aca="false">IF(AND(C41&gt;0,C42&gt;0),1,0)</f>
        <v>1</v>
      </c>
      <c r="D18" s="109" t="n">
        <f aca="false">IF(AND(D41&gt;0,D42&gt;0),1,0)</f>
        <v>1</v>
      </c>
      <c r="E18" s="109" t="n">
        <f aca="false">IF(AND(E41&gt;0,E42&gt;0),1,0)</f>
        <v>1</v>
      </c>
      <c r="F18" s="109" t="n">
        <f aca="false">IF(AND(F41&gt;0,F42&gt;0),1,0)</f>
        <v>1</v>
      </c>
      <c r="G18" s="109" t="n">
        <f aca="false">IF(AND(G41&gt;0,G42&gt;0),1,0)</f>
        <v>1</v>
      </c>
      <c r="H18" s="109" t="n">
        <f aca="false">IF(AND(H41&gt;0,H42&gt;0),1,0)</f>
        <v>1</v>
      </c>
      <c r="I18" s="109" t="n">
        <f aca="false">IF(AND(I41&gt;0,I42&gt;0),1,0)</f>
        <v>1</v>
      </c>
      <c r="J18" s="109" t="n">
        <f aca="false">IF(AND(J41&gt;0,J42&gt;0),1,0)</f>
        <v>1</v>
      </c>
      <c r="K18" s="109" t="n">
        <f aca="false">IF(AND(K41&gt;0,K42&gt;0),1,0)</f>
        <v>1</v>
      </c>
      <c r="L18" s="109" t="n">
        <f aca="false">IF(AND(L41&gt;0,L42&gt;0),1,0)</f>
        <v>1</v>
      </c>
      <c r="M18" s="109" t="n">
        <f aca="false">IF(AND(M41&gt;0,M42&gt;0),1,0)</f>
        <v>1</v>
      </c>
      <c r="N18" s="109" t="n">
        <f aca="false">IF(AND(N41&gt;0,N42&gt;0),1,0)</f>
        <v>1</v>
      </c>
      <c r="O18" s="109" t="n">
        <f aca="false">IF(AND(O41&gt;0,O42&gt;0),1,0)</f>
        <v>1</v>
      </c>
      <c r="P18" s="109" t="n">
        <f aca="false">IF(AND(P41&gt;0,P42&gt;0),1,0)</f>
        <v>1</v>
      </c>
      <c r="Q18" s="109" t="n">
        <f aca="false">IF(AND(Q41&gt;0,Q42&gt;0),1,0)</f>
        <v>1</v>
      </c>
    </row>
    <row r="19" customFormat="false" ht="15" hidden="false" customHeight="false" outlineLevel="0" collapsed="false">
      <c r="A19" s="5" t="s">
        <v>1733</v>
      </c>
      <c r="B19" s="59" t="s">
        <v>787</v>
      </c>
      <c r="C19" s="65" t="n">
        <f aca="false">IF(C18=1,C11*IF_Util/(IF(C38=1,C44/INDEX(IF_TokGW_Luna,1,C$7),0)+IF(C39=1,C45/INDEX(IF_TokGW_Sol,1,C$7),0)+IF(C40=1,C46/INDEX(IF_TokGW_Astra,1,C$7),0)),"SLO 不可達")</f>
        <v>2042606048.98339</v>
      </c>
      <c r="D19" s="65" t="n">
        <f aca="false">IF(D18=1,D11*IF_Util/(IF(D38=1,D44/INDEX(IF_TokGW_Luna,1,D$7),0)+IF(D39=1,D45/INDEX(IF_TokGW_Sol,1,D$7),0)+IF(D40=1,D46/INDEX(IF_TokGW_Astra,1,D$7),0)),"SLO 不可達")</f>
        <v>2042606048.98339</v>
      </c>
      <c r="E19" s="65" t="n">
        <f aca="false">IF(E18=1,E11*IF_Util/(IF(E38=1,E44/INDEX(IF_TokGW_Luna,1,E$7),0)+IF(E39=1,E45/INDEX(IF_TokGW_Sol,1,E$7),0)+IF(E40=1,E46/INDEX(IF_TokGW_Astra,1,E$7),0)),"SLO 不可達")</f>
        <v>2042606048.98339</v>
      </c>
      <c r="F19" s="65" t="n">
        <f aca="false">IF(F18=1,F11*IF_Util/(IF(F38=1,F44/INDEX(IF_TokGW_Luna,1,F$7),0)+IF(F39=1,F45/INDEX(IF_TokGW_Sol,1,F$7),0)+IF(F40=1,F46/INDEX(IF_TokGW_Astra,1,F$7),0)),"SLO 不可達")</f>
        <v>10289624820.3576</v>
      </c>
      <c r="G19" s="65" t="n">
        <f aca="false">IF(G18=1,G11*IF_Util/(IF(G38=1,G44/INDEX(IF_TokGW_Luna,1,G$7),0)+IF(G39=1,G45/INDEX(IF_TokGW_Sol,1,G$7),0)+IF(G40=1,G46/INDEX(IF_TokGW_Astra,1,G$7),0)),"SLO 不可達")</f>
        <v>10289624820.3576</v>
      </c>
      <c r="H19" s="65" t="n">
        <f aca="false">IF(H18=1,H11*IF_Util/(IF(H38=1,H44/INDEX(IF_TokGW_Luna,1,H$7),0)+IF(H39=1,H45/INDEX(IF_TokGW_Sol,1,H$7),0)+IF(H40=1,H46/INDEX(IF_TokGW_Astra,1,H$7),0)),"SLO 不可達")</f>
        <v>10289624820.3576</v>
      </c>
      <c r="I19" s="65" t="n">
        <f aca="false">IF(I18=1,I11*IF_Util/(IF(I38=1,I44/INDEX(IF_TokGW_Luna,1,I$7),0)+IF(I39=1,I45/INDEX(IF_TokGW_Sol,1,I$7),0)+IF(I40=1,I46/INDEX(IF_TokGW_Astra,1,I$7),0)),"SLO 不可達")</f>
        <v>13396013239.0361</v>
      </c>
      <c r="J19" s="65" t="n">
        <f aca="false">IF(J18=1,J11*IF_Util/(IF(J38=1,J44/INDEX(IF_TokGW_Luna,1,J$7),0)+IF(J39=1,J45/INDEX(IF_TokGW_Sol,1,J$7),0)+IF(J40=1,J46/INDEX(IF_TokGW_Astra,1,J$7),0)),"SLO 不可達")</f>
        <v>13396013239.0361</v>
      </c>
      <c r="K19" s="65" t="n">
        <f aca="false">IF(K18=1,K11*IF_Util/(IF(K38=1,K44/INDEX(IF_TokGW_Luna,1,K$7),0)+IF(K39=1,K45/INDEX(IF_TokGW_Sol,1,K$7),0)+IF(K40=1,K46/INDEX(IF_TokGW_Astra,1,K$7),0)),"SLO 不可達")</f>
        <v>13396013239.0361</v>
      </c>
      <c r="L19" s="65" t="n">
        <f aca="false">IF(L18=1,L11*IF_Util/(IF(L38=1,L44/INDEX(IF_TokGW_Luna,1,L$7),0)+IF(L39=1,L45/INDEX(IF_TokGW_Sol,1,L$7),0)+IF(L40=1,L46/INDEX(IF_TokGW_Astra,1,L$7),0)),"SLO 不可達")</f>
        <v>24850466374.1716</v>
      </c>
      <c r="M19" s="65" t="n">
        <f aca="false">IF(M18=1,M11*IF_Util/(IF(M38=1,M44/INDEX(IF_TokGW_Luna,1,M$7),0)+IF(M39=1,M45/INDEX(IF_TokGW_Sol,1,M$7),0)+IF(M40=1,M46/INDEX(IF_TokGW_Astra,1,M$7),0)),"SLO 不可達")</f>
        <v>24850466374.1716</v>
      </c>
      <c r="N19" s="65" t="n">
        <f aca="false">IF(N18=1,N11*IF_Util/(IF(N38=1,N44/INDEX(IF_TokGW_Luna,1,N$7),0)+IF(N39=1,N45/INDEX(IF_TokGW_Sol,1,N$7),0)+IF(N40=1,N46/INDEX(IF_TokGW_Astra,1,N$7),0)),"SLO 不可達")</f>
        <v>24850466374.1716</v>
      </c>
      <c r="O19" s="65" t="n">
        <f aca="false">IF(O18=1,O11*IF_Util/(IF(O38=1,O44/INDEX(IF_TokGW_Luna,1,O$7),0)+IF(O39=1,O45/INDEX(IF_TokGW_Sol,1,O$7),0)+IF(O40=1,O46/INDEX(IF_TokGW_Astra,1,O$7),0)),"SLO 不可達")</f>
        <v>35155039047.5893</v>
      </c>
      <c r="P19" s="65" t="n">
        <f aca="false">IF(P18=1,P11*IF_Util/(IF(P38=1,P44/INDEX(IF_TokGW_Luna,1,P$7),0)+IF(P39=1,P45/INDEX(IF_TokGW_Sol,1,P$7),0)+IF(P40=1,P46/INDEX(IF_TokGW_Astra,1,P$7),0)),"SLO 不可達")</f>
        <v>35155039047.5893</v>
      </c>
      <c r="Q19" s="65" t="n">
        <f aca="false">IF(Q18=1,Q11*IF_Util/(IF(Q38=1,Q44/INDEX(IF_TokGW_Luna,1,Q$7),0)+IF(Q39=1,Q45/INDEX(IF_TokGW_Sol,1,Q$7),0)+IF(Q40=1,Q46/INDEX(IF_TokGW_Astra,1,Q$7),0)),"SLO 不可達")</f>
        <v>35155039047.5893</v>
      </c>
    </row>
    <row r="20" customFormat="false" ht="15" hidden="false" customHeight="false" outlineLevel="0" collapsed="false">
      <c r="A20" s="5" t="s">
        <v>1734</v>
      </c>
      <c r="B20" s="59" t="s">
        <v>787</v>
      </c>
      <c r="C20" s="65" t="n">
        <f aca="false">IF(C18=1,C12*IF_Util/(IF(C38=1,C47/INDEX(IF_TokGW_Luna,1,C$7),0)+IF(C39=1,C48/INDEX(IF_TokGW_Sol,1,C$7),0)+IF(C40=1,C49/INDEX(IF_TokGW_Astra,1,C$7),0)),"SLO 不可達")</f>
        <v>6733969347.181</v>
      </c>
      <c r="D20" s="65" t="n">
        <f aca="false">IF(D18=1,D12*IF_Util/(IF(D38=1,D47/INDEX(IF_TokGW_Luna,1,D$7),0)+IF(D39=1,D48/INDEX(IF_TokGW_Sol,1,D$7),0)+IF(D40=1,D49/INDEX(IF_TokGW_Astra,1,D$7),0)),"SLO 不可達")</f>
        <v>6733969347.181</v>
      </c>
      <c r="E20" s="65" t="n">
        <f aca="false">IF(E18=1,E12*IF_Util/(IF(E38=1,E47/INDEX(IF_TokGW_Luna,1,E$7),0)+IF(E39=1,E48/INDEX(IF_TokGW_Sol,1,E$7),0)+IF(E40=1,E49/INDEX(IF_TokGW_Astra,1,E$7),0)),"SLO 不可達")</f>
        <v>6733969347.181</v>
      </c>
      <c r="F20" s="65" t="n">
        <f aca="false">IF(F18=1,F12*IF_Util/(IF(F38=1,F47/INDEX(IF_TokGW_Luna,1,F$7),0)+IF(F39=1,F48/INDEX(IF_TokGW_Sol,1,F$7),0)+IF(F40=1,F49/INDEX(IF_TokGW_Astra,1,F$7),0)),"SLO 不可達")</f>
        <v>32852732346.2495</v>
      </c>
      <c r="G20" s="65" t="n">
        <f aca="false">IF(G18=1,G12*IF_Util/(IF(G38=1,G47/INDEX(IF_TokGW_Luna,1,G$7),0)+IF(G39=1,G48/INDEX(IF_TokGW_Sol,1,G$7),0)+IF(G40=1,G49/INDEX(IF_TokGW_Astra,1,G$7),0)),"SLO 不可達")</f>
        <v>32852732346.2495</v>
      </c>
      <c r="H20" s="65" t="n">
        <f aca="false">IF(H18=1,H12*IF_Util/(IF(H38=1,H47/INDEX(IF_TokGW_Luna,1,H$7),0)+IF(H39=1,H48/INDEX(IF_TokGW_Sol,1,H$7),0)+IF(H40=1,H49/INDEX(IF_TokGW_Astra,1,H$7),0)),"SLO 不可達")</f>
        <v>32852732346.2495</v>
      </c>
      <c r="I20" s="65" t="n">
        <f aca="false">IF(I18=1,I12*IF_Util/(IF(I38=1,I47/INDEX(IF_TokGW_Luna,1,I$7),0)+IF(I39=1,I48/INDEX(IF_TokGW_Sol,1,I$7),0)+IF(I40=1,I49/INDEX(IF_TokGW_Astra,1,I$7),0)),"SLO 不可達")</f>
        <v>47829505292.7318</v>
      </c>
      <c r="J20" s="65" t="n">
        <f aca="false">IF(J18=1,J12*IF_Util/(IF(J38=1,J47/INDEX(IF_TokGW_Luna,1,J$7),0)+IF(J39=1,J48/INDEX(IF_TokGW_Sol,1,J$7),0)+IF(J40=1,J49/INDEX(IF_TokGW_Astra,1,J$7),0)),"SLO 不可達")</f>
        <v>47829505292.7318</v>
      </c>
      <c r="K20" s="65" t="n">
        <f aca="false">IF(K18=1,K12*IF_Util/(IF(K38=1,K47/INDEX(IF_TokGW_Luna,1,K$7),0)+IF(K39=1,K48/INDEX(IF_TokGW_Sol,1,K$7),0)+IF(K40=1,K49/INDEX(IF_TokGW_Astra,1,K$7),0)),"SLO 不可達")</f>
        <v>47829505292.7318</v>
      </c>
      <c r="L20" s="65" t="n">
        <f aca="false">IF(L18=1,L12*IF_Util/(IF(L38=1,L47/INDEX(IF_TokGW_Luna,1,L$7),0)+IF(L39=1,L48/INDEX(IF_TokGW_Sol,1,L$7),0)+IF(L40=1,L49/INDEX(IF_TokGW_Astra,1,L$7),0)),"SLO 不可達")</f>
        <v>71346660837.6243</v>
      </c>
      <c r="M20" s="65" t="n">
        <f aca="false">IF(M18=1,M12*IF_Util/(IF(M38=1,M47/INDEX(IF_TokGW_Luna,1,M$7),0)+IF(M39=1,M48/INDEX(IF_TokGW_Sol,1,M$7),0)+IF(M40=1,M49/INDEX(IF_TokGW_Astra,1,M$7),0)),"SLO 不可達")</f>
        <v>71346660837.6243</v>
      </c>
      <c r="N20" s="65" t="n">
        <f aca="false">IF(N18=1,N12*IF_Util/(IF(N38=1,N47/INDEX(IF_TokGW_Luna,1,N$7),0)+IF(N39=1,N48/INDEX(IF_TokGW_Sol,1,N$7),0)+IF(N40=1,N49/INDEX(IF_TokGW_Astra,1,N$7),0)),"SLO 不可達")</f>
        <v>71346660837.6243</v>
      </c>
      <c r="O20" s="65" t="n">
        <f aca="false">IF(O18=1,O12*IF_Util/(IF(O38=1,O47/INDEX(IF_TokGW_Luna,1,O$7),0)+IF(O39=1,O48/INDEX(IF_TokGW_Sol,1,O$7),0)+IF(O40=1,O49/INDEX(IF_TokGW_Astra,1,O$7),0)),"SLO 不可達")</f>
        <v>96855836069.047</v>
      </c>
      <c r="P20" s="65" t="n">
        <f aca="false">IF(P18=1,P12*IF_Util/(IF(P38=1,P47/INDEX(IF_TokGW_Luna,1,P$7),0)+IF(P39=1,P48/INDEX(IF_TokGW_Sol,1,P$7),0)+IF(P40=1,P49/INDEX(IF_TokGW_Astra,1,P$7),0)),"SLO 不可達")</f>
        <v>96855836069.047</v>
      </c>
      <c r="Q20" s="65" t="n">
        <f aca="false">IF(Q18=1,Q12*IF_Util/(IF(Q38=1,Q47/INDEX(IF_TokGW_Luna,1,Q$7),0)+IF(Q39=1,Q48/INDEX(IF_TokGW_Sol,1,Q$7),0)+IF(Q40=1,Q49/INDEX(IF_TokGW_Astra,1,Q$7),0)),"SLO 不可達")</f>
        <v>96855836069.047</v>
      </c>
    </row>
    <row r="21" customFormat="false" ht="15" hidden="false" customHeight="false" outlineLevel="0" collapsed="false">
      <c r="A21" s="6" t="s">
        <v>1735</v>
      </c>
      <c r="B21" s="59" t="s">
        <v>787</v>
      </c>
      <c r="C21" s="65" t="n">
        <f aca="false">IF(AND(C18=1,C38=1),C19*C44,"SLO 不可達")</f>
        <v>817042419.593355</v>
      </c>
      <c r="D21" s="65" t="n">
        <f aca="false">IF(AND(D18=1,D38=1),D19*D44,"SLO 不可達")</f>
        <v>817042419.593355</v>
      </c>
      <c r="E21" s="65" t="n">
        <f aca="false">IF(AND(E18=1,E38=1),E19*E44,"SLO 不可達")</f>
        <v>817042419.593355</v>
      </c>
      <c r="F21" s="65" t="n">
        <f aca="false">IF(AND(F18=1,F38=1),F19*F44,"SLO 不可達")</f>
        <v>4115849928.14302</v>
      </c>
      <c r="G21" s="65" t="n">
        <f aca="false">IF(AND(G18=1,G38=1),G19*G44,"SLO 不可達")</f>
        <v>4115849928.14302</v>
      </c>
      <c r="H21" s="65" t="n">
        <f aca="false">IF(AND(H18=1,H38=1),H19*H44,"SLO 不可達")</f>
        <v>4115849928.14302</v>
      </c>
      <c r="I21" s="65" t="n">
        <f aca="false">IF(AND(I18=1,I38=1),I19*I44,"SLO 不可達")</f>
        <v>5358405295.61443</v>
      </c>
      <c r="J21" s="65" t="n">
        <f aca="false">IF(AND(J18=1,J38=1),J19*J44,"SLO 不可達")</f>
        <v>5358405295.61443</v>
      </c>
      <c r="K21" s="65" t="n">
        <f aca="false">IF(AND(K18=1,K38=1),K19*K44,"SLO 不可達")</f>
        <v>5358405295.61443</v>
      </c>
      <c r="L21" s="65" t="n">
        <f aca="false">IF(AND(L18=1,L38=1),L19*L44,"SLO 不可達")</f>
        <v>9940186549.66862</v>
      </c>
      <c r="M21" s="65" t="n">
        <f aca="false">IF(AND(M18=1,M38=1),M19*M44,"SLO 不可達")</f>
        <v>9940186549.66862</v>
      </c>
      <c r="N21" s="65" t="n">
        <f aca="false">IF(AND(N18=1,N38=1),N19*N44,"SLO 不可達")</f>
        <v>9940186549.66862</v>
      </c>
      <c r="O21" s="65" t="n">
        <f aca="false">IF(AND(O18=1,O38=1),O19*O44,"SLO 不可達")</f>
        <v>14062015619.0357</v>
      </c>
      <c r="P21" s="65" t="n">
        <f aca="false">IF(AND(P18=1,P38=1),P19*P44,"SLO 不可達")</f>
        <v>14062015619.0357</v>
      </c>
      <c r="Q21" s="65" t="n">
        <f aca="false">IF(AND(Q18=1,Q38=1),Q19*Q44,"SLO 不可達")</f>
        <v>14062015619.0357</v>
      </c>
    </row>
    <row r="22" customFormat="false" ht="15" hidden="false" customHeight="false" outlineLevel="0" collapsed="false">
      <c r="A22" s="6" t="s">
        <v>1736</v>
      </c>
      <c r="B22" s="59" t="s">
        <v>787</v>
      </c>
      <c r="C22" s="65" t="n">
        <f aca="false">IF(AND(C18=1,C38=1),C20*C47,"SLO 不可達")</f>
        <v>6060572412.4629</v>
      </c>
      <c r="D22" s="65" t="n">
        <f aca="false">IF(AND(D18=1,D38=1),D20*D47,"SLO 不可達")</f>
        <v>6060572412.4629</v>
      </c>
      <c r="E22" s="65" t="n">
        <f aca="false">IF(AND(E18=1,E38=1),E20*E47,"SLO 不可達")</f>
        <v>6060572412.4629</v>
      </c>
      <c r="F22" s="65" t="n">
        <f aca="false">IF(AND(F18=1,F38=1),F20*F47,"SLO 不可達")</f>
        <v>29567459111.6246</v>
      </c>
      <c r="G22" s="65" t="n">
        <f aca="false">IF(AND(G18=1,G38=1),G20*G47,"SLO 不可達")</f>
        <v>29567459111.6246</v>
      </c>
      <c r="H22" s="65" t="n">
        <f aca="false">IF(AND(H18=1,H38=1),H20*H47,"SLO 不可達")</f>
        <v>29567459111.6246</v>
      </c>
      <c r="I22" s="65" t="n">
        <f aca="false">IF(AND(I18=1,I38=1),I20*I47,"SLO 不可達")</f>
        <v>43046554763.4586</v>
      </c>
      <c r="J22" s="65" t="n">
        <f aca="false">IF(AND(J18=1,J38=1),J20*J47,"SLO 不可達")</f>
        <v>43046554763.4586</v>
      </c>
      <c r="K22" s="65" t="n">
        <f aca="false">IF(AND(K18=1,K38=1),K20*K47,"SLO 不可達")</f>
        <v>43046554763.4586</v>
      </c>
      <c r="L22" s="65" t="n">
        <f aca="false">IF(AND(L18=1,L38=1),L20*L47,"SLO 不可達")</f>
        <v>64211994753.8619</v>
      </c>
      <c r="M22" s="65" t="n">
        <f aca="false">IF(AND(M18=1,M38=1),M20*M47,"SLO 不可達")</f>
        <v>64211994753.8619</v>
      </c>
      <c r="N22" s="65" t="n">
        <f aca="false">IF(AND(N18=1,N38=1),N20*N47,"SLO 不可達")</f>
        <v>64211994753.8619</v>
      </c>
      <c r="O22" s="65" t="n">
        <f aca="false">IF(AND(O18=1,O38=1),O20*O47,"SLO 不可達")</f>
        <v>87170252462.1423</v>
      </c>
      <c r="P22" s="65" t="n">
        <f aca="false">IF(AND(P18=1,P38=1),P20*P47,"SLO 不可達")</f>
        <v>87170252462.1423</v>
      </c>
      <c r="Q22" s="65" t="n">
        <f aca="false">IF(AND(Q18=1,Q38=1),Q20*Q47,"SLO 不可達")</f>
        <v>87170252462.1423</v>
      </c>
    </row>
    <row r="23" customFormat="false" ht="15" hidden="false" customHeight="false" outlineLevel="0" collapsed="false">
      <c r="A23" s="6" t="s">
        <v>1737</v>
      </c>
      <c r="B23" s="59" t="s">
        <v>85</v>
      </c>
      <c r="C23" s="112" t="n">
        <f aca="false">IF(AND(C18=1,C38=1),(C21+C22)/(INDEX(IF_TokGW_Luna,1,C$7)*IF_Util),"SLO 不可達")</f>
        <v>0.154760588314132</v>
      </c>
      <c r="D23" s="112" t="n">
        <f aca="false">IF(AND(D18=1,D38=1),(D21+D22)/(INDEX(IF_TokGW_Luna,1,D$7)*IF_Util),"SLO 不可達")</f>
        <v>0.154760588314132</v>
      </c>
      <c r="E23" s="112" t="n">
        <f aca="false">IF(AND(E18=1,E38=1),(E21+E22)/(INDEX(IF_TokGW_Luna,1,E$7)*IF_Util),"SLO 不可達")</f>
        <v>0.154760588314132</v>
      </c>
      <c r="F23" s="112" t="n">
        <f aca="false">IF(AND(F18=1,F38=1),(F21+F22)/(INDEX(IF_TokGW_Luna,1,F$7)*IF_Util),"SLO 不可達")</f>
        <v>0.154948330589445</v>
      </c>
      <c r="G23" s="112" t="n">
        <f aca="false">IF(AND(G18=1,G38=1),(G21+G22)/(INDEX(IF_TokGW_Luna,1,G$7)*IF_Util),"SLO 不可達")</f>
        <v>0.154948330589445</v>
      </c>
      <c r="H23" s="112" t="n">
        <f aca="false">IF(AND(H18=1,H38=1),(H21+H22)/(INDEX(IF_TokGW_Luna,1,H$7)*IF_Util),"SLO 不可達")</f>
        <v>0.154948330589445</v>
      </c>
      <c r="I23" s="112" t="n">
        <f aca="false">IF(AND(I18=1,I38=1),(I21+I22)/(INDEX(IF_TokGW_Luna,1,I$7)*IF_Util),"SLO 不可達")</f>
        <v>0.152945824232698</v>
      </c>
      <c r="J23" s="112" t="n">
        <f aca="false">IF(AND(J18=1,J38=1),(J21+J22)/(INDEX(IF_TokGW_Luna,1,J$7)*IF_Util),"SLO 不可達")</f>
        <v>0.152945824232698</v>
      </c>
      <c r="K23" s="112" t="n">
        <f aca="false">IF(AND(K18=1,K38=1),(K21+K22)/(INDEX(IF_TokGW_Luna,1,K$7)*IF_Util),"SLO 不可達")</f>
        <v>0.152945824232698</v>
      </c>
      <c r="L23" s="112" t="n">
        <f aca="false">IF(AND(L18=1,L38=1),(L21+L22)/(INDEX(IF_TokGW_Luna,1,L$7)*IF_Util),"SLO 不可達")</f>
        <v>0.159925495692349</v>
      </c>
      <c r="M23" s="112" t="n">
        <f aca="false">IF(AND(M18=1,M38=1),(M21+M22)/(INDEX(IF_TokGW_Luna,1,M$7)*IF_Util),"SLO 不可達")</f>
        <v>0.159925495692349</v>
      </c>
      <c r="N23" s="112" t="n">
        <f aca="false">IF(AND(N18=1,N38=1),(N21+N22)/(INDEX(IF_TokGW_Luna,1,N$7)*IF_Util),"SLO 不可達")</f>
        <v>0.159925495692349</v>
      </c>
      <c r="O23" s="112" t="n">
        <f aca="false">IF(AND(O18=1,O38=1),(O21+O22)/(INDEX(IF_TokGW_Luna,1,O$7)*IF_Util),"SLO 不可達")</f>
        <v>0.161551793857427</v>
      </c>
      <c r="P23" s="112" t="n">
        <f aca="false">IF(AND(P18=1,P38=1),(P21+P22)/(INDEX(IF_TokGW_Luna,1,P$7)*IF_Util),"SLO 不可達")</f>
        <v>0.161551793857427</v>
      </c>
      <c r="Q23" s="112" t="n">
        <f aca="false">IF(AND(Q18=1,Q38=1),(Q21+Q22)/(INDEX(IF_TokGW_Luna,1,Q$7)*IF_Util),"SLO 不可達")</f>
        <v>0.161551793857427</v>
      </c>
    </row>
    <row r="24" customFormat="false" ht="15" hidden="false" customHeight="false" outlineLevel="0" collapsed="false">
      <c r="A24" s="6" t="s">
        <v>1738</v>
      </c>
      <c r="B24" s="59" t="s">
        <v>787</v>
      </c>
      <c r="C24" s="65" t="n">
        <f aca="false">IF(AND(C18=1,C39=1),C19*C45,"SLO 不可達")</f>
        <v>919172722.042524</v>
      </c>
      <c r="D24" s="65" t="n">
        <f aca="false">IF(AND(D18=1,D39=1),D19*D45,"SLO 不可達")</f>
        <v>919172722.042524</v>
      </c>
      <c r="E24" s="65" t="n">
        <f aca="false">IF(AND(E18=1,E39=1),E19*E45,"SLO 不可達")</f>
        <v>919172722.042524</v>
      </c>
      <c r="F24" s="65" t="n">
        <f aca="false">IF(AND(F18=1,F39=1),F19*F45,"SLO 不可達")</f>
        <v>4630331169.1609</v>
      </c>
      <c r="G24" s="65" t="n">
        <f aca="false">IF(AND(G18=1,G39=1),G19*G45,"SLO 不可達")</f>
        <v>4630331169.1609</v>
      </c>
      <c r="H24" s="65" t="n">
        <f aca="false">IF(AND(H18=1,H39=1),H19*H45,"SLO 不可達")</f>
        <v>4630331169.1609</v>
      </c>
      <c r="I24" s="65" t="n">
        <f aca="false">IF(AND(I18=1,I39=1),I19*I45,"SLO 不可達")</f>
        <v>6028205957.56624</v>
      </c>
      <c r="J24" s="65" t="n">
        <f aca="false">IF(AND(J18=1,J39=1),J19*J45,"SLO 不可達")</f>
        <v>6028205957.56624</v>
      </c>
      <c r="K24" s="65" t="n">
        <f aca="false">IF(AND(K18=1,K39=1),K19*K45,"SLO 不可達")</f>
        <v>6028205957.56624</v>
      </c>
      <c r="L24" s="65" t="n">
        <f aca="false">IF(AND(L18=1,L39=1),L19*L45,"SLO 不可達")</f>
        <v>11182709868.3772</v>
      </c>
      <c r="M24" s="65" t="n">
        <f aca="false">IF(AND(M18=1,M39=1),M19*M45,"SLO 不可達")</f>
        <v>11182709868.3772</v>
      </c>
      <c r="N24" s="65" t="n">
        <f aca="false">IF(AND(N18=1,N39=1),N19*N45,"SLO 不可達")</f>
        <v>11182709868.3772</v>
      </c>
      <c r="O24" s="65" t="n">
        <f aca="false">IF(AND(O18=1,O39=1),O19*O45,"SLO 不可達")</f>
        <v>15819767571.4152</v>
      </c>
      <c r="P24" s="65" t="n">
        <f aca="false">IF(AND(P18=1,P39=1),P19*P45,"SLO 不可達")</f>
        <v>15819767571.4152</v>
      </c>
      <c r="Q24" s="65" t="n">
        <f aca="false">IF(AND(Q18=1,Q39=1),Q19*Q45,"SLO 不可達")</f>
        <v>15819767571.4152</v>
      </c>
    </row>
    <row r="25" customFormat="false" ht="15" hidden="false" customHeight="false" outlineLevel="0" collapsed="false">
      <c r="A25" s="6" t="s">
        <v>1739</v>
      </c>
      <c r="B25" s="59" t="s">
        <v>787</v>
      </c>
      <c r="C25" s="65" t="n">
        <f aca="false">IF(AND(C18=1,C39=1),C20*C48,"SLO 不可達")</f>
        <v>673396934.7181</v>
      </c>
      <c r="D25" s="65" t="n">
        <f aca="false">IF(AND(D18=1,D39=1),D20*D48,"SLO 不可達")</f>
        <v>673396934.7181</v>
      </c>
      <c r="E25" s="65" t="n">
        <f aca="false">IF(AND(E18=1,E39=1),E20*E48,"SLO 不可達")</f>
        <v>673396934.7181</v>
      </c>
      <c r="F25" s="65" t="n">
        <f aca="false">IF(AND(F18=1,F39=1),F20*F48,"SLO 不可達")</f>
        <v>3285273234.62495</v>
      </c>
      <c r="G25" s="65" t="n">
        <f aca="false">IF(AND(G18=1,G39=1),G20*G48,"SLO 不可達")</f>
        <v>3285273234.62495</v>
      </c>
      <c r="H25" s="65" t="n">
        <f aca="false">IF(AND(H18=1,H39=1),H20*H48,"SLO 不可達")</f>
        <v>3285273234.62495</v>
      </c>
      <c r="I25" s="65" t="n">
        <f aca="false">IF(AND(I18=1,I39=1),I20*I48,"SLO 不可達")</f>
        <v>4782950529.27318</v>
      </c>
      <c r="J25" s="65" t="n">
        <f aca="false">IF(AND(J18=1,J39=1),J20*J48,"SLO 不可達")</f>
        <v>4782950529.27318</v>
      </c>
      <c r="K25" s="65" t="n">
        <f aca="false">IF(AND(K18=1,K39=1),K20*K48,"SLO 不可達")</f>
        <v>4782950529.27318</v>
      </c>
      <c r="L25" s="65" t="n">
        <f aca="false">IF(AND(L18=1,L39=1),L20*L48,"SLO 不可達")</f>
        <v>7134666083.76243</v>
      </c>
      <c r="M25" s="65" t="n">
        <f aca="false">IF(AND(M18=1,M39=1),M20*M48,"SLO 不可達")</f>
        <v>7134666083.76243</v>
      </c>
      <c r="N25" s="65" t="n">
        <f aca="false">IF(AND(N18=1,N39=1),N20*N48,"SLO 不可達")</f>
        <v>7134666083.76243</v>
      </c>
      <c r="O25" s="65" t="n">
        <f aca="false">IF(AND(O18=1,O39=1),O20*O48,"SLO 不可達")</f>
        <v>9685583606.9047</v>
      </c>
      <c r="P25" s="65" t="n">
        <f aca="false">IF(AND(P18=1,P39=1),P20*P48,"SLO 不可達")</f>
        <v>9685583606.9047</v>
      </c>
      <c r="Q25" s="65" t="n">
        <f aca="false">IF(AND(Q18=1,Q39=1),Q20*Q48,"SLO 不可達")</f>
        <v>9685583606.9047</v>
      </c>
    </row>
    <row r="26" customFormat="false" ht="15" hidden="false" customHeight="false" outlineLevel="0" collapsed="false">
      <c r="A26" s="6" t="s">
        <v>1740</v>
      </c>
      <c r="B26" s="59" t="s">
        <v>85</v>
      </c>
      <c r="C26" s="112" t="n">
        <f aca="false">IF(AND(C18=1,C39=1),(C24+C25)/(INDEX(IF_TokGW_Sol,1,C$7)*IF_Util),"SLO 不可達")</f>
        <v>0.123509990266414</v>
      </c>
      <c r="D26" s="112" t="n">
        <f aca="false">IF(AND(D18=1,D39=1),(D24+D25)/(INDEX(IF_TokGW_Sol,1,D$7)*IF_Util),"SLO 不可達")</f>
        <v>0.123509990266414</v>
      </c>
      <c r="E26" s="112" t="n">
        <f aca="false">IF(AND(E18=1,E39=1),(E24+E25)/(INDEX(IF_TokGW_Sol,1,E$7)*IF_Util),"SLO 不可達")</f>
        <v>0.123509990266414</v>
      </c>
      <c r="F26" s="112" t="n">
        <f aca="false">IF(AND(F18=1,F39=1),(F24+F25)/(INDEX(IF_TokGW_Sol,1,F$7)*IF_Util),"SLO 不可達")</f>
        <v>0.126699862563692</v>
      </c>
      <c r="G26" s="112" t="n">
        <f aca="false">IF(AND(G18=1,G39=1),(G24+G25)/(INDEX(IF_TokGW_Sol,1,G$7)*IF_Util),"SLO 不可達")</f>
        <v>0.126699862563692</v>
      </c>
      <c r="H26" s="112" t="n">
        <f aca="false">IF(AND(H18=1,H39=1),(H24+H25)/(INDEX(IF_TokGW_Sol,1,H$7)*IF_Util),"SLO 不可達")</f>
        <v>0.126699862563692</v>
      </c>
      <c r="I26" s="112" t="n">
        <f aca="false">IF(AND(I18=1,I39=1),(I24+I25)/(INDEX(IF_TokGW_Sol,1,I$7)*IF_Util),"SLO 不可達")</f>
        <v>0.118861121177431</v>
      </c>
      <c r="J26" s="112" t="n">
        <f aca="false">IF(AND(J18=1,J39=1),(J24+J25)/(INDEX(IF_TokGW_Sol,1,J$7)*IF_Util),"SLO 不可達")</f>
        <v>0.118861121177431</v>
      </c>
      <c r="K26" s="112" t="n">
        <f aca="false">IF(AND(K18=1,K39=1),(K24+K25)/(INDEX(IF_TokGW_Sol,1,K$7)*IF_Util),"SLO 不可達")</f>
        <v>0.118861121177431</v>
      </c>
      <c r="L26" s="112" t="n">
        <f aca="false">IF(AND(L18=1,L39=1),(L24+L25)/(INDEX(IF_TokGW_Sol,1,L$7)*IF_Util),"SLO 不可達")</f>
        <v>0.128658191722267</v>
      </c>
      <c r="M26" s="112" t="n">
        <f aca="false">IF(AND(M18=1,M39=1),(M24+M25)/(INDEX(IF_TokGW_Sol,1,M$7)*IF_Util),"SLO 不可達")</f>
        <v>0.128658191722267</v>
      </c>
      <c r="N26" s="112" t="n">
        <f aca="false">IF(AND(N18=1,N39=1),(N24+N25)/(INDEX(IF_TokGW_Sol,1,N$7)*IF_Util),"SLO 不可達")</f>
        <v>0.128658191722267</v>
      </c>
      <c r="O26" s="112" t="n">
        <f aca="false">IF(AND(O18=1,O39=1),(O24+O25)/(INDEX(IF_TokGW_Sol,1,O$7)*IF_Util),"SLO 不可達")</f>
        <v>0.130321232574257</v>
      </c>
      <c r="P26" s="112" t="n">
        <f aca="false">IF(AND(P18=1,P39=1),(P24+P25)/(INDEX(IF_TokGW_Sol,1,P$7)*IF_Util),"SLO 不可達")</f>
        <v>0.130321232574257</v>
      </c>
      <c r="Q26" s="112" t="n">
        <f aca="false">IF(AND(Q18=1,Q39=1),(Q24+Q25)/(INDEX(IF_TokGW_Sol,1,Q$7)*IF_Util),"SLO 不可達")</f>
        <v>0.130321232574257</v>
      </c>
    </row>
    <row r="27" customFormat="false" ht="15" hidden="false" customHeight="false" outlineLevel="0" collapsed="false">
      <c r="A27" s="6" t="s">
        <v>1741</v>
      </c>
      <c r="B27" s="59" t="s">
        <v>787</v>
      </c>
      <c r="C27" s="65" t="n">
        <f aca="false">IF(AND(C18=1,C40=1),C19*C46,"SLO 不可達")</f>
        <v>306390907.347508</v>
      </c>
      <c r="D27" s="65" t="n">
        <f aca="false">IF(AND(D18=1,D40=1),D19*D46,"SLO 不可達")</f>
        <v>306390907.347508</v>
      </c>
      <c r="E27" s="65" t="n">
        <f aca="false">IF(AND(E18=1,E40=1),E19*E46,"SLO 不可達")</f>
        <v>306390907.347508</v>
      </c>
      <c r="F27" s="65" t="n">
        <f aca="false">IF(AND(F18=1,F40=1),F19*F46,"SLO 不可達")</f>
        <v>1543443723.05363</v>
      </c>
      <c r="G27" s="65" t="n">
        <f aca="false">IF(AND(G18=1,G40=1),G19*G46,"SLO 不可達")</f>
        <v>1543443723.05363</v>
      </c>
      <c r="H27" s="65" t="n">
        <f aca="false">IF(AND(H18=1,H40=1),H19*H46,"SLO 不可達")</f>
        <v>1543443723.05363</v>
      </c>
      <c r="I27" s="65" t="n">
        <f aca="false">IF(AND(I18=1,I40=1),I19*I46,"SLO 不可達")</f>
        <v>2009401985.85541</v>
      </c>
      <c r="J27" s="65" t="n">
        <f aca="false">IF(AND(J18=1,J40=1),J19*J46,"SLO 不可達")</f>
        <v>2009401985.85541</v>
      </c>
      <c r="K27" s="65" t="n">
        <f aca="false">IF(AND(K18=1,K40=1),K19*K46,"SLO 不可達")</f>
        <v>2009401985.85541</v>
      </c>
      <c r="L27" s="65" t="n">
        <f aca="false">IF(AND(L18=1,L40=1),L19*L46,"SLO 不可達")</f>
        <v>3727569956.12573</v>
      </c>
      <c r="M27" s="65" t="n">
        <f aca="false">IF(AND(M18=1,M40=1),M19*M46,"SLO 不可達")</f>
        <v>3727569956.12573</v>
      </c>
      <c r="N27" s="65" t="n">
        <f aca="false">IF(AND(N18=1,N40=1),N19*N46,"SLO 不可達")</f>
        <v>3727569956.12573</v>
      </c>
      <c r="O27" s="65" t="n">
        <f aca="false">IF(AND(O18=1,O40=1),O19*O46,"SLO 不可達")</f>
        <v>5273255857.1384</v>
      </c>
      <c r="P27" s="65" t="n">
        <f aca="false">IF(AND(P18=1,P40=1),P19*P46,"SLO 不可達")</f>
        <v>5273255857.1384</v>
      </c>
      <c r="Q27" s="65" t="n">
        <f aca="false">IF(AND(Q18=1,Q40=1),Q19*Q46,"SLO 不可達")</f>
        <v>5273255857.1384</v>
      </c>
    </row>
    <row r="28" customFormat="false" ht="15" hidden="false" customHeight="false" outlineLevel="0" collapsed="false">
      <c r="A28" s="6" t="s">
        <v>1742</v>
      </c>
      <c r="B28" s="59" t="s">
        <v>787</v>
      </c>
      <c r="C28" s="65" t="n">
        <f aca="false">IF(AND(C18=1,C40=1),C20*C49,"SLO 不可達")</f>
        <v>0</v>
      </c>
      <c r="D28" s="65" t="n">
        <f aca="false">IF(AND(D18=1,D40=1),D20*D49,"SLO 不可達")</f>
        <v>0</v>
      </c>
      <c r="E28" s="65" t="n">
        <f aca="false">IF(AND(E18=1,E40=1),E20*E49,"SLO 不可達")</f>
        <v>0</v>
      </c>
      <c r="F28" s="65" t="n">
        <f aca="false">IF(AND(F18=1,F40=1),F20*F49,"SLO 不可達")</f>
        <v>0</v>
      </c>
      <c r="G28" s="65" t="n">
        <f aca="false">IF(AND(G18=1,G40=1),G20*G49,"SLO 不可達")</f>
        <v>0</v>
      </c>
      <c r="H28" s="65" t="n">
        <f aca="false">IF(AND(H18=1,H40=1),H20*H49,"SLO 不可達")</f>
        <v>0</v>
      </c>
      <c r="I28" s="65" t="n">
        <f aca="false">IF(AND(I18=1,I40=1),I20*I49,"SLO 不可達")</f>
        <v>0</v>
      </c>
      <c r="J28" s="65" t="n">
        <f aca="false">IF(AND(J18=1,J40=1),J20*J49,"SLO 不可達")</f>
        <v>0</v>
      </c>
      <c r="K28" s="65" t="n">
        <f aca="false">IF(AND(K18=1,K40=1),K20*K49,"SLO 不可達")</f>
        <v>0</v>
      </c>
      <c r="L28" s="65" t="n">
        <f aca="false">IF(AND(L18=1,L40=1),L20*L49,"SLO 不可達")</f>
        <v>0</v>
      </c>
      <c r="M28" s="65" t="n">
        <f aca="false">IF(AND(M18=1,M40=1),M20*M49,"SLO 不可達")</f>
        <v>0</v>
      </c>
      <c r="N28" s="65" t="n">
        <f aca="false">IF(AND(N18=1,N40=1),N20*N49,"SLO 不可達")</f>
        <v>0</v>
      </c>
      <c r="O28" s="65" t="n">
        <f aca="false">IF(AND(O18=1,O40=1),O20*O49,"SLO 不可達")</f>
        <v>0</v>
      </c>
      <c r="P28" s="65" t="n">
        <f aca="false">IF(AND(P18=1,P40=1),P20*P49,"SLO 不可達")</f>
        <v>0</v>
      </c>
      <c r="Q28" s="65" t="n">
        <f aca="false">IF(AND(Q18=1,Q40=1),Q20*Q49,"SLO 不可達")</f>
        <v>0</v>
      </c>
    </row>
    <row r="29" customFormat="false" ht="15" hidden="false" customHeight="false" outlineLevel="0" collapsed="false">
      <c r="A29" s="6" t="s">
        <v>1743</v>
      </c>
      <c r="B29" s="59" t="s">
        <v>85</v>
      </c>
      <c r="C29" s="112" t="n">
        <f aca="false">IF(AND(C18=1,C40=1),(C27+C28)/(INDEX(IF_TokGW_Astra,1,C$7)*IF_Util),"SLO 不可達")</f>
        <v>0.131729421419454</v>
      </c>
      <c r="D29" s="112" t="n">
        <f aca="false">IF(AND(D18=1,D40=1),(D27+D28)/(INDEX(IF_TokGW_Astra,1,D$7)*IF_Util),"SLO 不可達")</f>
        <v>0.131729421419454</v>
      </c>
      <c r="E29" s="112" t="n">
        <f aca="false">IF(AND(E18=1,E40=1),(E27+E28)/(INDEX(IF_TokGW_Astra,1,E$7)*IF_Util),"SLO 不可達")</f>
        <v>0.131729421419454</v>
      </c>
      <c r="F29" s="112" t="n">
        <f aca="false">IF(AND(F18=1,F40=1),(F27+F28)/(INDEX(IF_TokGW_Astra,1,F$7)*IF_Util),"SLO 不可達")</f>
        <v>0.128351806846863</v>
      </c>
      <c r="G29" s="112" t="n">
        <f aca="false">IF(AND(G18=1,G40=1),(G27+G28)/(INDEX(IF_TokGW_Astra,1,G$7)*IF_Util),"SLO 不可達")</f>
        <v>0.128351806846863</v>
      </c>
      <c r="H29" s="112" t="n">
        <f aca="false">IF(AND(H18=1,H40=1),(H27+H28)/(INDEX(IF_TokGW_Astra,1,H$7)*IF_Util),"SLO 不可達")</f>
        <v>0.128351806846863</v>
      </c>
      <c r="I29" s="112" t="n">
        <f aca="false">IF(AND(I18=1,I40=1),(I27+I28)/(INDEX(IF_TokGW_Astra,1,I$7)*IF_Util),"SLO 不可達")</f>
        <v>0.138193054589871</v>
      </c>
      <c r="J29" s="112" t="n">
        <f aca="false">IF(AND(J18=1,J40=1),(J27+J28)/(INDEX(IF_TokGW_Astra,1,J$7)*IF_Util),"SLO 不可達")</f>
        <v>0.138193054589871</v>
      </c>
      <c r="K29" s="112" t="n">
        <f aca="false">IF(AND(K18=1,K40=1),(K27+K28)/(INDEX(IF_TokGW_Astra,1,K$7)*IF_Util),"SLO 不可達")</f>
        <v>0.138193054589871</v>
      </c>
      <c r="L29" s="112" t="n">
        <f aca="false">IF(AND(L18=1,L40=1),(L27+L28)/(INDEX(IF_TokGW_Astra,1,L$7)*IF_Util),"SLO 不可達")</f>
        <v>0.121416312585384</v>
      </c>
      <c r="M29" s="112" t="n">
        <f aca="false">IF(AND(M18=1,M40=1),(M27+M28)/(INDEX(IF_TokGW_Astra,1,M$7)*IF_Util),"SLO 不可達")</f>
        <v>0.121416312585384</v>
      </c>
      <c r="N29" s="112" t="n">
        <f aca="false">IF(AND(N18=1,N40=1),(N27+N28)/(INDEX(IF_TokGW_Astra,1,N$7)*IF_Util),"SLO 不可達")</f>
        <v>0.121416312585384</v>
      </c>
      <c r="O29" s="112" t="n">
        <f aca="false">IF(AND(O18=1,O40=1),(O27+O28)/(INDEX(IF_TokGW_Astra,1,O$7)*IF_Util),"SLO 不可達")</f>
        <v>0.118126973568316</v>
      </c>
      <c r="P29" s="112" t="n">
        <f aca="false">IF(AND(P18=1,P40=1),(P27+P28)/(INDEX(IF_TokGW_Astra,1,P$7)*IF_Util),"SLO 不可達")</f>
        <v>0.118126973568316</v>
      </c>
      <c r="Q29" s="112" t="n">
        <f aca="false">IF(AND(Q18=1,Q40=1),(Q27+Q28)/(INDEX(IF_TokGW_Astra,1,Q$7)*IF_Util),"SLO 不可達")</f>
        <v>0.118126973568316</v>
      </c>
    </row>
    <row r="30" customFormat="false" ht="15" hidden="false" customHeight="false" outlineLevel="0" collapsed="false">
      <c r="A30" s="5" t="s">
        <v>1744</v>
      </c>
      <c r="B30" s="59" t="s">
        <v>85</v>
      </c>
      <c r="C30" s="152" t="n">
        <f aca="false">IF(C18=1,SUM(C23,C26,C29)-C10,"SLO 不可達")</f>
        <v>0</v>
      </c>
      <c r="D30" s="152" t="n">
        <f aca="false">IF(D18=1,SUM(D23,D26,D29)-D10,"SLO 不可達")</f>
        <v>0</v>
      </c>
      <c r="E30" s="152" t="n">
        <f aca="false">IF(E18=1,SUM(E23,E26,E29)-E10,"SLO 不可達")</f>
        <v>0</v>
      </c>
      <c r="F30" s="152" t="n">
        <f aca="false">IF(F18=1,SUM(F23,F26,F29)-F10,"SLO 不可達")</f>
        <v>0</v>
      </c>
      <c r="G30" s="152" t="n">
        <f aca="false">IF(G18=1,SUM(G23,G26,G29)-G10,"SLO 不可達")</f>
        <v>0</v>
      </c>
      <c r="H30" s="152" t="n">
        <f aca="false">IF(H18=1,SUM(H23,H26,H29)-H10,"SLO 不可達")</f>
        <v>0</v>
      </c>
      <c r="I30" s="152" t="n">
        <f aca="false">IF(I18=1,SUM(I23,I26,I29)-I10,"SLO 不可達")</f>
        <v>0</v>
      </c>
      <c r="J30" s="152" t="n">
        <f aca="false">IF(J18=1,SUM(J23,J26,J29)-J10,"SLO 不可達")</f>
        <v>0</v>
      </c>
      <c r="K30" s="152" t="n">
        <f aca="false">IF(K18=1,SUM(K23,K26,K29)-K10,"SLO 不可達")</f>
        <v>0</v>
      </c>
      <c r="L30" s="152" t="n">
        <f aca="false">IF(L18=1,SUM(L23,L26,L29)-L10,"SLO 不可達")</f>
        <v>0</v>
      </c>
      <c r="M30" s="152" t="n">
        <f aca="false">IF(M18=1,SUM(M23,M26,M29)-M10,"SLO 不可達")</f>
        <v>0</v>
      </c>
      <c r="N30" s="152" t="n">
        <f aca="false">IF(N18=1,SUM(N23,N26,N29)-N10,"SLO 不可達")</f>
        <v>0</v>
      </c>
      <c r="O30" s="152" t="n">
        <f aca="false">IF(O18=1,SUM(O23,O26,O29)-O10,"SLO 不可達")</f>
        <v>0</v>
      </c>
      <c r="P30" s="152" t="n">
        <f aca="false">IF(P18=1,SUM(P23,P26,P29)-P10,"SLO 不可達")</f>
        <v>0</v>
      </c>
      <c r="Q30" s="152" t="n">
        <f aca="false">IF(Q18=1,SUM(Q23,Q26,Q29)-Q10,"SLO 不可達")</f>
        <v>0</v>
      </c>
    </row>
    <row r="32" customFormat="false" ht="15" hidden="false" customHeight="false" outlineLevel="0" collapsed="false">
      <c r="A32" s="73" t="s">
        <v>1745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1746</v>
      </c>
      <c r="B33" s="59" t="s">
        <v>93</v>
      </c>
      <c r="C33" s="100" t="n">
        <f aca="false">IF(COUNT(INDEX(IF_ProgGWyr_Luna,1,C$7),INDEX(IF_ProgGWyr_Sol,1,C$7),INDEX(IF_ProgGWyr_Astra,1,C$7))=3,INDEX(IF_ProgGWyr_Luna,1,C$7)+INDEX(IF_ProgGWyr_Sol,1,C$7)+INDEX(IF_ProgGWyr_Astra,1,C$7),"SLO 不可達")</f>
        <v>0.173958041057628</v>
      </c>
      <c r="D33" s="100" t="n">
        <f aca="false">IF(COUNT(INDEX(IF_ProgGWyr_Luna,1,D$7),INDEX(IF_ProgGWyr_Sol,1,D$7),INDEX(IF_ProgGWyr_Astra,1,D$7))=3,INDEX(IF_ProgGWyr_Luna,1,D$7)+INDEX(IF_ProgGWyr_Sol,1,D$7)+INDEX(IF_ProgGWyr_Astra,1,D$7),"SLO 不可達")</f>
        <v>0.173958041057628</v>
      </c>
      <c r="E33" s="100" t="n">
        <f aca="false">IF(COUNT(INDEX(IF_ProgGWyr_Luna,1,E$7),INDEX(IF_ProgGWyr_Sol,1,E$7),INDEX(IF_ProgGWyr_Astra,1,E$7))=3,INDEX(IF_ProgGWyr_Luna,1,E$7)+INDEX(IF_ProgGWyr_Sol,1,E$7)+INDEX(IF_ProgGWyr_Astra,1,E$7),"SLO 不可達")</f>
        <v>0.173958041057628</v>
      </c>
      <c r="F33" s="100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0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0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0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0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0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0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0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0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0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0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0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1747</v>
      </c>
      <c r="B34" s="58" t="s">
        <v>316</v>
      </c>
      <c r="C34" s="86" t="n">
        <f aca="false">IF(ISNUMBER(C33),C13/C33,C33)</f>
        <v>3.39162246489398</v>
      </c>
      <c r="D34" s="86" t="n">
        <f aca="false">IF(ISNUMBER(D33),D13/D33,D33)</f>
        <v>3.39162246489398</v>
      </c>
      <c r="E34" s="86" t="n">
        <f aca="false">IF(ISNUMBER(E33),E13/E33,E33)</f>
        <v>3.39162246489398</v>
      </c>
      <c r="F34" s="86" t="n">
        <f aca="false">IF(ISNUMBER(F33),F13/F33,F33)</f>
        <v>6.91024802217462</v>
      </c>
      <c r="G34" s="86" t="n">
        <f aca="false">IF(ISNUMBER(G33),G13/G33,G33)</f>
        <v>6.91024802217462</v>
      </c>
      <c r="H34" s="86" t="n">
        <f aca="false">IF(ISNUMBER(H33),H13/H33,H33)</f>
        <v>6.91024802217462</v>
      </c>
      <c r="I34" s="86" t="n">
        <f aca="false">IF(ISNUMBER(I33),I13/I33,I33)</f>
        <v>7.45489057086418</v>
      </c>
      <c r="J34" s="86" t="n">
        <f aca="false">IF(ISNUMBER(J33),J13/J33,J33)</f>
        <v>7.45489057086418</v>
      </c>
      <c r="K34" s="86" t="n">
        <f aca="false">IF(ISNUMBER(K33),K13/K33,K33)</f>
        <v>7.45489057086418</v>
      </c>
      <c r="L34" s="86" t="n">
        <f aca="false">IF(ISNUMBER(L33),L13/L33,L33)</f>
        <v>12.1291102743968</v>
      </c>
      <c r="M34" s="86" t="n">
        <f aca="false">IF(ISNUMBER(M33),M13/M33,M33)</f>
        <v>12.1291102743968</v>
      </c>
      <c r="N34" s="86" t="n">
        <f aca="false">IF(ISNUMBER(N33),N13/N33,N33)</f>
        <v>12.1291102743968</v>
      </c>
      <c r="O34" s="86" t="n">
        <f aca="false">IF(ISNUMBER(O33),O13/O33,O33)</f>
        <v>17.8840183480344</v>
      </c>
      <c r="P34" s="86" t="n">
        <f aca="false">IF(ISNUMBER(P33),P13/P33,P33)</f>
        <v>17.8840183480344</v>
      </c>
      <c r="Q34" s="86" t="n">
        <f aca="false">IF(ISNUMBER(Q33),Q13/Q33,Q33)</f>
        <v>17.8840183480344</v>
      </c>
    </row>
    <row r="35" customFormat="false" ht="15" hidden="false" customHeight="false" outlineLevel="0" collapsed="false">
      <c r="A35" s="71" t="s">
        <v>1748</v>
      </c>
    </row>
    <row r="37" customFormat="false" ht="15" hidden="false" customHeight="false" outlineLevel="0" collapsed="false">
      <c r="A37" s="73" t="s">
        <v>1749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6" t="s">
        <v>1750</v>
      </c>
      <c r="B38" s="58" t="s">
        <v>1732</v>
      </c>
      <c r="C38" s="109" t="n">
        <f aca="false">IF(ISNUMBER(INDEX(IF_TokGW_Luna,1,C$7)),IF(INDEX(IF_TokGW_Luna,1,C$7)&gt;0,1,0),0)</f>
        <v>1</v>
      </c>
      <c r="D38" s="109" t="n">
        <f aca="false">IF(ISNUMBER(INDEX(IF_TokGW_Luna,1,D$7)),IF(INDEX(IF_TokGW_Luna,1,D$7)&gt;0,1,0),0)</f>
        <v>1</v>
      </c>
      <c r="E38" s="109" t="n">
        <f aca="false">IF(ISNUMBER(INDEX(IF_TokGW_Luna,1,E$7)),IF(INDEX(IF_TokGW_Luna,1,E$7)&gt;0,1,0),0)</f>
        <v>1</v>
      </c>
      <c r="F38" s="109" t="n">
        <f aca="false">IF(ISNUMBER(INDEX(IF_TokGW_Luna,1,F$7)),IF(INDEX(IF_TokGW_Luna,1,F$7)&gt;0,1,0),0)</f>
        <v>1</v>
      </c>
      <c r="G38" s="109" t="n">
        <f aca="false">IF(ISNUMBER(INDEX(IF_TokGW_Luna,1,G$7)),IF(INDEX(IF_TokGW_Luna,1,G$7)&gt;0,1,0),0)</f>
        <v>1</v>
      </c>
      <c r="H38" s="109" t="n">
        <f aca="false">IF(ISNUMBER(INDEX(IF_TokGW_Luna,1,H$7)),IF(INDEX(IF_TokGW_Luna,1,H$7)&gt;0,1,0),0)</f>
        <v>1</v>
      </c>
      <c r="I38" s="109" t="n">
        <f aca="false">IF(ISNUMBER(INDEX(IF_TokGW_Luna,1,I$7)),IF(INDEX(IF_TokGW_Luna,1,I$7)&gt;0,1,0),0)</f>
        <v>1</v>
      </c>
      <c r="J38" s="109" t="n">
        <f aca="false">IF(ISNUMBER(INDEX(IF_TokGW_Luna,1,J$7)),IF(INDEX(IF_TokGW_Luna,1,J$7)&gt;0,1,0),0)</f>
        <v>1</v>
      </c>
      <c r="K38" s="109" t="n">
        <f aca="false">IF(ISNUMBER(INDEX(IF_TokGW_Luna,1,K$7)),IF(INDEX(IF_TokGW_Luna,1,K$7)&gt;0,1,0),0)</f>
        <v>1</v>
      </c>
      <c r="L38" s="109" t="n">
        <f aca="false">IF(ISNUMBER(INDEX(IF_TokGW_Luna,1,L$7)),IF(INDEX(IF_TokGW_Luna,1,L$7)&gt;0,1,0),0)</f>
        <v>1</v>
      </c>
      <c r="M38" s="109" t="n">
        <f aca="false">IF(ISNUMBER(INDEX(IF_TokGW_Luna,1,M$7)),IF(INDEX(IF_TokGW_Luna,1,M$7)&gt;0,1,0),0)</f>
        <v>1</v>
      </c>
      <c r="N38" s="109" t="n">
        <f aca="false">IF(ISNUMBER(INDEX(IF_TokGW_Luna,1,N$7)),IF(INDEX(IF_TokGW_Luna,1,N$7)&gt;0,1,0),0)</f>
        <v>1</v>
      </c>
      <c r="O38" s="109" t="n">
        <f aca="false">IF(ISNUMBER(INDEX(IF_TokGW_Luna,1,O$7)),IF(INDEX(IF_TokGW_Luna,1,O$7)&gt;0,1,0),0)</f>
        <v>1</v>
      </c>
      <c r="P38" s="109" t="n">
        <f aca="false">IF(ISNUMBER(INDEX(IF_TokGW_Luna,1,P$7)),IF(INDEX(IF_TokGW_Luna,1,P$7)&gt;0,1,0),0)</f>
        <v>1</v>
      </c>
      <c r="Q38" s="109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1751</v>
      </c>
      <c r="B39" s="58" t="s">
        <v>1732</v>
      </c>
      <c r="C39" s="109" t="n">
        <f aca="false">IF(ISNUMBER(INDEX(IF_TokGW_Sol,1,C$7)),IF(INDEX(IF_TokGW_Sol,1,C$7)&gt;0,1,0),0)</f>
        <v>1</v>
      </c>
      <c r="D39" s="109" t="n">
        <f aca="false">IF(ISNUMBER(INDEX(IF_TokGW_Sol,1,D$7)),IF(INDEX(IF_TokGW_Sol,1,D$7)&gt;0,1,0),0)</f>
        <v>1</v>
      </c>
      <c r="E39" s="109" t="n">
        <f aca="false">IF(ISNUMBER(INDEX(IF_TokGW_Sol,1,E$7)),IF(INDEX(IF_TokGW_Sol,1,E$7)&gt;0,1,0),0)</f>
        <v>1</v>
      </c>
      <c r="F39" s="109" t="n">
        <f aca="false">IF(ISNUMBER(INDEX(IF_TokGW_Sol,1,F$7)),IF(INDEX(IF_TokGW_Sol,1,F$7)&gt;0,1,0),0)</f>
        <v>1</v>
      </c>
      <c r="G39" s="109" t="n">
        <f aca="false">IF(ISNUMBER(INDEX(IF_TokGW_Sol,1,G$7)),IF(INDEX(IF_TokGW_Sol,1,G$7)&gt;0,1,0),0)</f>
        <v>1</v>
      </c>
      <c r="H39" s="109" t="n">
        <f aca="false">IF(ISNUMBER(INDEX(IF_TokGW_Sol,1,H$7)),IF(INDEX(IF_TokGW_Sol,1,H$7)&gt;0,1,0),0)</f>
        <v>1</v>
      </c>
      <c r="I39" s="109" t="n">
        <f aca="false">IF(ISNUMBER(INDEX(IF_TokGW_Sol,1,I$7)),IF(INDEX(IF_TokGW_Sol,1,I$7)&gt;0,1,0),0)</f>
        <v>1</v>
      </c>
      <c r="J39" s="109" t="n">
        <f aca="false">IF(ISNUMBER(INDEX(IF_TokGW_Sol,1,J$7)),IF(INDEX(IF_TokGW_Sol,1,J$7)&gt;0,1,0),0)</f>
        <v>1</v>
      </c>
      <c r="K39" s="109" t="n">
        <f aca="false">IF(ISNUMBER(INDEX(IF_TokGW_Sol,1,K$7)),IF(INDEX(IF_TokGW_Sol,1,K$7)&gt;0,1,0),0)</f>
        <v>1</v>
      </c>
      <c r="L39" s="109" t="n">
        <f aca="false">IF(ISNUMBER(INDEX(IF_TokGW_Sol,1,L$7)),IF(INDEX(IF_TokGW_Sol,1,L$7)&gt;0,1,0),0)</f>
        <v>1</v>
      </c>
      <c r="M39" s="109" t="n">
        <f aca="false">IF(ISNUMBER(INDEX(IF_TokGW_Sol,1,M$7)),IF(INDEX(IF_TokGW_Sol,1,M$7)&gt;0,1,0),0)</f>
        <v>1</v>
      </c>
      <c r="N39" s="109" t="n">
        <f aca="false">IF(ISNUMBER(INDEX(IF_TokGW_Sol,1,N$7)),IF(INDEX(IF_TokGW_Sol,1,N$7)&gt;0,1,0),0)</f>
        <v>1</v>
      </c>
      <c r="O39" s="109" t="n">
        <f aca="false">IF(ISNUMBER(INDEX(IF_TokGW_Sol,1,O$7)),IF(INDEX(IF_TokGW_Sol,1,O$7)&gt;0,1,0),0)</f>
        <v>1</v>
      </c>
      <c r="P39" s="109" t="n">
        <f aca="false">IF(ISNUMBER(INDEX(IF_TokGW_Sol,1,P$7)),IF(INDEX(IF_TokGW_Sol,1,P$7)&gt;0,1,0),0)</f>
        <v>1</v>
      </c>
      <c r="Q39" s="109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1752</v>
      </c>
      <c r="B40" s="58" t="s">
        <v>1732</v>
      </c>
      <c r="C40" s="109" t="n">
        <f aca="false">IF(ISNUMBER(INDEX(IF_TokGW_Astra,1,C$7)),IF(INDEX(IF_TokGW_Astra,1,C$7)&gt;0,1,0),0)</f>
        <v>1</v>
      </c>
      <c r="D40" s="109" t="n">
        <f aca="false">IF(ISNUMBER(INDEX(IF_TokGW_Astra,1,D$7)),IF(INDEX(IF_TokGW_Astra,1,D$7)&gt;0,1,0),0)</f>
        <v>1</v>
      </c>
      <c r="E40" s="109" t="n">
        <f aca="false">IF(ISNUMBER(INDEX(IF_TokGW_Astra,1,E$7)),IF(INDEX(IF_TokGW_Astra,1,E$7)&gt;0,1,0),0)</f>
        <v>1</v>
      </c>
      <c r="F40" s="109" t="n">
        <f aca="false">IF(ISNUMBER(INDEX(IF_TokGW_Astra,1,F$7)),IF(INDEX(IF_TokGW_Astra,1,F$7)&gt;0,1,0),0)</f>
        <v>1</v>
      </c>
      <c r="G40" s="109" t="n">
        <f aca="false">IF(ISNUMBER(INDEX(IF_TokGW_Astra,1,G$7)),IF(INDEX(IF_TokGW_Astra,1,G$7)&gt;0,1,0),0)</f>
        <v>1</v>
      </c>
      <c r="H40" s="109" t="n">
        <f aca="false">IF(ISNUMBER(INDEX(IF_TokGW_Astra,1,H$7)),IF(INDEX(IF_TokGW_Astra,1,H$7)&gt;0,1,0),0)</f>
        <v>1</v>
      </c>
      <c r="I40" s="109" t="n">
        <f aca="false">IF(ISNUMBER(INDEX(IF_TokGW_Astra,1,I$7)),IF(INDEX(IF_TokGW_Astra,1,I$7)&gt;0,1,0),0)</f>
        <v>1</v>
      </c>
      <c r="J40" s="109" t="n">
        <f aca="false">IF(ISNUMBER(INDEX(IF_TokGW_Astra,1,J$7)),IF(INDEX(IF_TokGW_Astra,1,J$7)&gt;0,1,0),0)</f>
        <v>1</v>
      </c>
      <c r="K40" s="109" t="n">
        <f aca="false">IF(ISNUMBER(INDEX(IF_TokGW_Astra,1,K$7)),IF(INDEX(IF_TokGW_Astra,1,K$7)&gt;0,1,0),0)</f>
        <v>1</v>
      </c>
      <c r="L40" s="109" t="n">
        <f aca="false">IF(ISNUMBER(INDEX(IF_TokGW_Astra,1,L$7)),IF(INDEX(IF_TokGW_Astra,1,L$7)&gt;0,1,0),0)</f>
        <v>1</v>
      </c>
      <c r="M40" s="109" t="n">
        <f aca="false">IF(ISNUMBER(INDEX(IF_TokGW_Astra,1,M$7)),IF(INDEX(IF_TokGW_Astra,1,M$7)&gt;0,1,0),0)</f>
        <v>1</v>
      </c>
      <c r="N40" s="109" t="n">
        <f aca="false">IF(ISNUMBER(INDEX(IF_TokGW_Astra,1,N$7)),IF(INDEX(IF_TokGW_Astra,1,N$7)&gt;0,1,0),0)</f>
        <v>1</v>
      </c>
      <c r="O40" s="109" t="n">
        <f aca="false">IF(ISNUMBER(INDEX(IF_TokGW_Astra,1,O$7)),IF(INDEX(IF_TokGW_Astra,1,O$7)&gt;0,1,0),0)</f>
        <v>1</v>
      </c>
      <c r="P40" s="109" t="n">
        <f aca="false">IF(ISNUMBER(INDEX(IF_TokGW_Astra,1,P$7)),IF(INDEX(IF_TokGW_Astra,1,P$7)&gt;0,1,0),0)</f>
        <v>1</v>
      </c>
      <c r="Q40" s="109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1753</v>
      </c>
      <c r="B41" s="59" t="s">
        <v>93</v>
      </c>
      <c r="C41" s="101" t="n">
        <f aca="false">INDEX(B4_MixPaid,1,1)*C38+INDEX(B4_MixPaid,1,2)*C39+INDEX(B4_MixPaid,1,3)*C40</f>
        <v>1</v>
      </c>
      <c r="D41" s="101" t="n">
        <f aca="false">INDEX(B4_MixPaid,1,1)*D38+INDEX(B4_MixPaid,1,2)*D39+INDEX(B4_MixPaid,1,3)*D40</f>
        <v>1</v>
      </c>
      <c r="E41" s="101" t="n">
        <f aca="false">INDEX(B4_MixPaid,1,1)*E38+INDEX(B4_MixPaid,1,2)*E39+INDEX(B4_MixPaid,1,3)*E40</f>
        <v>1</v>
      </c>
      <c r="F41" s="101" t="n">
        <f aca="false">INDEX(B4_MixPaid,1,1)*F38+INDEX(B4_MixPaid,1,2)*F39+INDEX(B4_MixPaid,1,3)*F40</f>
        <v>1</v>
      </c>
      <c r="G41" s="101" t="n">
        <f aca="false">INDEX(B4_MixPaid,1,1)*G38+INDEX(B4_MixPaid,1,2)*G39+INDEX(B4_MixPaid,1,3)*G40</f>
        <v>1</v>
      </c>
      <c r="H41" s="101" t="n">
        <f aca="false">INDEX(B4_MixPaid,1,1)*H38+INDEX(B4_MixPaid,1,2)*H39+INDEX(B4_MixPaid,1,3)*H40</f>
        <v>1</v>
      </c>
      <c r="I41" s="101" t="n">
        <f aca="false">INDEX(B4_MixPaid,1,1)*I38+INDEX(B4_MixPaid,1,2)*I39+INDEX(B4_MixPaid,1,3)*I40</f>
        <v>1</v>
      </c>
      <c r="J41" s="101" t="n">
        <f aca="false">INDEX(B4_MixPaid,1,1)*J38+INDEX(B4_MixPaid,1,2)*J39+INDEX(B4_MixPaid,1,3)*J40</f>
        <v>1</v>
      </c>
      <c r="K41" s="101" t="n">
        <f aca="false">INDEX(B4_MixPaid,1,1)*K38+INDEX(B4_MixPaid,1,2)*K39+INDEX(B4_MixPaid,1,3)*K40</f>
        <v>1</v>
      </c>
      <c r="L41" s="101" t="n">
        <f aca="false">INDEX(B4_MixPaid,1,1)*L38+INDEX(B4_MixPaid,1,2)*L39+INDEX(B4_MixPaid,1,3)*L40</f>
        <v>1</v>
      </c>
      <c r="M41" s="101" t="n">
        <f aca="false">INDEX(B4_MixPaid,1,1)*M38+INDEX(B4_MixPaid,1,2)*M39+INDEX(B4_MixPaid,1,3)*M40</f>
        <v>1</v>
      </c>
      <c r="N41" s="101" t="n">
        <f aca="false">INDEX(B4_MixPaid,1,1)*N38+INDEX(B4_MixPaid,1,2)*N39+INDEX(B4_MixPaid,1,3)*N40</f>
        <v>1</v>
      </c>
      <c r="O41" s="101" t="n">
        <f aca="false">INDEX(B4_MixPaid,1,1)*O38+INDEX(B4_MixPaid,1,2)*O39+INDEX(B4_MixPaid,1,3)*O40</f>
        <v>1</v>
      </c>
      <c r="P41" s="101" t="n">
        <f aca="false">INDEX(B4_MixPaid,1,1)*P38+INDEX(B4_MixPaid,1,2)*P39+INDEX(B4_MixPaid,1,3)*P40</f>
        <v>1</v>
      </c>
      <c r="Q41" s="101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1754</v>
      </c>
      <c r="B42" s="59" t="s">
        <v>93</v>
      </c>
      <c r="C42" s="101" t="n">
        <f aca="false">INDEX(B4_MixFree,1,1)*C38+INDEX(B4_MixFree,1,2)*C39+INDEX(B4_MixFree,1,3)*C40</f>
        <v>1</v>
      </c>
      <c r="D42" s="101" t="n">
        <f aca="false">INDEX(B4_MixFree,1,1)*D38+INDEX(B4_MixFree,1,2)*D39+INDEX(B4_MixFree,1,3)*D40</f>
        <v>1</v>
      </c>
      <c r="E42" s="101" t="n">
        <f aca="false">INDEX(B4_MixFree,1,1)*E38+INDEX(B4_MixFree,1,2)*E39+INDEX(B4_MixFree,1,3)*E40</f>
        <v>1</v>
      </c>
      <c r="F42" s="101" t="n">
        <f aca="false">INDEX(B4_MixFree,1,1)*F38+INDEX(B4_MixFree,1,2)*F39+INDEX(B4_MixFree,1,3)*F40</f>
        <v>1</v>
      </c>
      <c r="G42" s="101" t="n">
        <f aca="false">INDEX(B4_MixFree,1,1)*G38+INDEX(B4_MixFree,1,2)*G39+INDEX(B4_MixFree,1,3)*G40</f>
        <v>1</v>
      </c>
      <c r="H42" s="101" t="n">
        <f aca="false">INDEX(B4_MixFree,1,1)*H38+INDEX(B4_MixFree,1,2)*H39+INDEX(B4_MixFree,1,3)*H40</f>
        <v>1</v>
      </c>
      <c r="I42" s="101" t="n">
        <f aca="false">INDEX(B4_MixFree,1,1)*I38+INDEX(B4_MixFree,1,2)*I39+INDEX(B4_MixFree,1,3)*I40</f>
        <v>1</v>
      </c>
      <c r="J42" s="101" t="n">
        <f aca="false">INDEX(B4_MixFree,1,1)*J38+INDEX(B4_MixFree,1,2)*J39+INDEX(B4_MixFree,1,3)*J40</f>
        <v>1</v>
      </c>
      <c r="K42" s="101" t="n">
        <f aca="false">INDEX(B4_MixFree,1,1)*K38+INDEX(B4_MixFree,1,2)*K39+INDEX(B4_MixFree,1,3)*K40</f>
        <v>1</v>
      </c>
      <c r="L42" s="101" t="n">
        <f aca="false">INDEX(B4_MixFree,1,1)*L38+INDEX(B4_MixFree,1,2)*L39+INDEX(B4_MixFree,1,3)*L40</f>
        <v>1</v>
      </c>
      <c r="M42" s="101" t="n">
        <f aca="false">INDEX(B4_MixFree,1,1)*M38+INDEX(B4_MixFree,1,2)*M39+INDEX(B4_MixFree,1,3)*M40</f>
        <v>1</v>
      </c>
      <c r="N42" s="101" t="n">
        <f aca="false">INDEX(B4_MixFree,1,1)*N38+INDEX(B4_MixFree,1,2)*N39+INDEX(B4_MixFree,1,3)*N40</f>
        <v>1</v>
      </c>
      <c r="O42" s="101" t="n">
        <f aca="false">INDEX(B4_MixFree,1,1)*O38+INDEX(B4_MixFree,1,2)*O39+INDEX(B4_MixFree,1,3)*O40</f>
        <v>1</v>
      </c>
      <c r="P42" s="101" t="n">
        <f aca="false">INDEX(B4_MixFree,1,1)*P38+INDEX(B4_MixFree,1,2)*P39+INDEX(B4_MixFree,1,3)*P40</f>
        <v>1</v>
      </c>
      <c r="Q42" s="101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1755</v>
      </c>
      <c r="B43" s="58" t="s">
        <v>1444</v>
      </c>
      <c r="C43" s="58" t="str">
        <f aca="false">IF(C38*C39*C40=1,"無",TRIM(IF(C38=0,"Luna ","")&amp;IF(C39=0,"Sol ","")&amp;IF(C40=0,"Astra","")))</f>
        <v>無</v>
      </c>
      <c r="D43" s="58" t="str">
        <f aca="false">IF(D38*D39*D40=1,"無",TRIM(IF(D38=0,"Luna ","")&amp;IF(D39=0,"Sol ","")&amp;IF(D40=0,"Astra","")))</f>
        <v>無</v>
      </c>
      <c r="E43" s="58" t="str">
        <f aca="false">IF(E38*E39*E40=1,"無",TRIM(IF(E38=0,"Luna ","")&amp;IF(E39=0,"Sol ","")&amp;IF(E40=0,"Astra","")))</f>
        <v>無</v>
      </c>
      <c r="F43" s="58" t="str">
        <f aca="false">IF(F38*F39*F40=1,"無",TRIM(IF(F38=0,"Luna ","")&amp;IF(F39=0,"Sol ","")&amp;IF(F40=0,"Astra","")))</f>
        <v>無</v>
      </c>
      <c r="G43" s="58" t="str">
        <f aca="false">IF(G38*G39*G40=1,"無",TRIM(IF(G38=0,"Luna ","")&amp;IF(G39=0,"Sol ","")&amp;IF(G40=0,"Astra","")))</f>
        <v>無</v>
      </c>
      <c r="H43" s="58" t="str">
        <f aca="false">IF(H38*H39*H40=1,"無",TRIM(IF(H38=0,"Luna ","")&amp;IF(H39=0,"Sol ","")&amp;IF(H40=0,"Astra","")))</f>
        <v>無</v>
      </c>
      <c r="I43" s="58" t="str">
        <f aca="false">IF(I38*I39*I40=1,"無",TRIM(IF(I38=0,"Luna ","")&amp;IF(I39=0,"Sol ","")&amp;IF(I40=0,"Astra","")))</f>
        <v>無</v>
      </c>
      <c r="J43" s="58" t="str">
        <f aca="false">IF(J38*J39*J40=1,"無",TRIM(IF(J38=0,"Luna ","")&amp;IF(J39=0,"Sol ","")&amp;IF(J40=0,"Astra","")))</f>
        <v>無</v>
      </c>
      <c r="K43" s="58" t="str">
        <f aca="false">IF(K38*K39*K40=1,"無",TRIM(IF(K38=0,"Luna ","")&amp;IF(K39=0,"Sol ","")&amp;IF(K40=0,"Astra","")))</f>
        <v>無</v>
      </c>
      <c r="L43" s="58" t="str">
        <f aca="false">IF(L38*L39*L40=1,"無",TRIM(IF(L38=0,"Luna ","")&amp;IF(L39=0,"Sol ","")&amp;IF(L40=0,"Astra","")))</f>
        <v>無</v>
      </c>
      <c r="M43" s="58" t="str">
        <f aca="false">IF(M38*M39*M40=1,"無",TRIM(IF(M38=0,"Luna ","")&amp;IF(M39=0,"Sol ","")&amp;IF(M40=0,"Astra","")))</f>
        <v>無</v>
      </c>
      <c r="N43" s="58" t="str">
        <f aca="false">IF(N38*N39*N40=1,"無",TRIM(IF(N38=0,"Luna ","")&amp;IF(N39=0,"Sol ","")&amp;IF(N40=0,"Astra","")))</f>
        <v>無</v>
      </c>
      <c r="O43" s="58" t="str">
        <f aca="false">IF(O38*O39*O40=1,"無",TRIM(IF(O38=0,"Luna ","")&amp;IF(O39=0,"Sol ","")&amp;IF(O40=0,"Astra","")))</f>
        <v>無</v>
      </c>
      <c r="P43" s="58" t="str">
        <f aca="false">IF(P38*P39*P40=1,"無",TRIM(IF(P38=0,"Luna ","")&amp;IF(P39=0,"Sol ","")&amp;IF(P40=0,"Astra","")))</f>
        <v>無</v>
      </c>
      <c r="Q43" s="58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1756</v>
      </c>
      <c r="B44" s="59" t="s">
        <v>93</v>
      </c>
      <c r="C44" s="101" t="n">
        <f aca="false">IF(C41&gt;0,INDEX(B4_MixPaid,1,1)*C38/C41,0)</f>
        <v>0.4</v>
      </c>
      <c r="D44" s="101" t="n">
        <f aca="false">IF(D41&gt;0,INDEX(B4_MixPaid,1,1)*D38/D41,0)</f>
        <v>0.4</v>
      </c>
      <c r="E44" s="101" t="n">
        <f aca="false">IF(E41&gt;0,INDEX(B4_MixPaid,1,1)*E38/E41,0)</f>
        <v>0.4</v>
      </c>
      <c r="F44" s="101" t="n">
        <f aca="false">IF(F41&gt;0,INDEX(B4_MixPaid,1,1)*F38/F41,0)</f>
        <v>0.4</v>
      </c>
      <c r="G44" s="101" t="n">
        <f aca="false">IF(G41&gt;0,INDEX(B4_MixPaid,1,1)*G38/G41,0)</f>
        <v>0.4</v>
      </c>
      <c r="H44" s="101" t="n">
        <f aca="false">IF(H41&gt;0,INDEX(B4_MixPaid,1,1)*H38/H41,0)</f>
        <v>0.4</v>
      </c>
      <c r="I44" s="101" t="n">
        <f aca="false">IF(I41&gt;0,INDEX(B4_MixPaid,1,1)*I38/I41,0)</f>
        <v>0.4</v>
      </c>
      <c r="J44" s="101" t="n">
        <f aca="false">IF(J41&gt;0,INDEX(B4_MixPaid,1,1)*J38/J41,0)</f>
        <v>0.4</v>
      </c>
      <c r="K44" s="101" t="n">
        <f aca="false">IF(K41&gt;0,INDEX(B4_MixPaid,1,1)*K38/K41,0)</f>
        <v>0.4</v>
      </c>
      <c r="L44" s="101" t="n">
        <f aca="false">IF(L41&gt;0,INDEX(B4_MixPaid,1,1)*L38/L41,0)</f>
        <v>0.4</v>
      </c>
      <c r="M44" s="101" t="n">
        <f aca="false">IF(M41&gt;0,INDEX(B4_MixPaid,1,1)*M38/M41,0)</f>
        <v>0.4</v>
      </c>
      <c r="N44" s="101" t="n">
        <f aca="false">IF(N41&gt;0,INDEX(B4_MixPaid,1,1)*N38/N41,0)</f>
        <v>0.4</v>
      </c>
      <c r="O44" s="101" t="n">
        <f aca="false">IF(O41&gt;0,INDEX(B4_MixPaid,1,1)*O38/O41,0)</f>
        <v>0.4</v>
      </c>
      <c r="P44" s="101" t="n">
        <f aca="false">IF(P41&gt;0,INDEX(B4_MixPaid,1,1)*P38/P41,0)</f>
        <v>0.4</v>
      </c>
      <c r="Q44" s="101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1757</v>
      </c>
      <c r="B45" s="59" t="s">
        <v>93</v>
      </c>
      <c r="C45" s="101" t="n">
        <f aca="false">IF(C41&gt;0,INDEX(B4_MixPaid,1,2)*C39/C41,0)</f>
        <v>0.45</v>
      </c>
      <c r="D45" s="101" t="n">
        <f aca="false">IF(D41&gt;0,INDEX(B4_MixPaid,1,2)*D39/D41,0)</f>
        <v>0.45</v>
      </c>
      <c r="E45" s="101" t="n">
        <f aca="false">IF(E41&gt;0,INDEX(B4_MixPaid,1,2)*E39/E41,0)</f>
        <v>0.45</v>
      </c>
      <c r="F45" s="101" t="n">
        <f aca="false">IF(F41&gt;0,INDEX(B4_MixPaid,1,2)*F39/F41,0)</f>
        <v>0.45</v>
      </c>
      <c r="G45" s="101" t="n">
        <f aca="false">IF(G41&gt;0,INDEX(B4_MixPaid,1,2)*G39/G41,0)</f>
        <v>0.45</v>
      </c>
      <c r="H45" s="101" t="n">
        <f aca="false">IF(H41&gt;0,INDEX(B4_MixPaid,1,2)*H39/H41,0)</f>
        <v>0.45</v>
      </c>
      <c r="I45" s="101" t="n">
        <f aca="false">IF(I41&gt;0,INDEX(B4_MixPaid,1,2)*I39/I41,0)</f>
        <v>0.45</v>
      </c>
      <c r="J45" s="101" t="n">
        <f aca="false">IF(J41&gt;0,INDEX(B4_MixPaid,1,2)*J39/J41,0)</f>
        <v>0.45</v>
      </c>
      <c r="K45" s="101" t="n">
        <f aca="false">IF(K41&gt;0,INDEX(B4_MixPaid,1,2)*K39/K41,0)</f>
        <v>0.45</v>
      </c>
      <c r="L45" s="101" t="n">
        <f aca="false">IF(L41&gt;0,INDEX(B4_MixPaid,1,2)*L39/L41,0)</f>
        <v>0.45</v>
      </c>
      <c r="M45" s="101" t="n">
        <f aca="false">IF(M41&gt;0,INDEX(B4_MixPaid,1,2)*M39/M41,0)</f>
        <v>0.45</v>
      </c>
      <c r="N45" s="101" t="n">
        <f aca="false">IF(N41&gt;0,INDEX(B4_MixPaid,1,2)*N39/N41,0)</f>
        <v>0.45</v>
      </c>
      <c r="O45" s="101" t="n">
        <f aca="false">IF(O41&gt;0,INDEX(B4_MixPaid,1,2)*O39/O41,0)</f>
        <v>0.45</v>
      </c>
      <c r="P45" s="101" t="n">
        <f aca="false">IF(P41&gt;0,INDEX(B4_MixPaid,1,2)*P39/P41,0)</f>
        <v>0.45</v>
      </c>
      <c r="Q45" s="101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1758</v>
      </c>
      <c r="B46" s="59" t="s">
        <v>93</v>
      </c>
      <c r="C46" s="101" t="n">
        <f aca="false">IF(C41&gt;0,INDEX(B4_MixPaid,1,3)*C40/C41,0)</f>
        <v>0.15</v>
      </c>
      <c r="D46" s="101" t="n">
        <f aca="false">IF(D41&gt;0,INDEX(B4_MixPaid,1,3)*D40/D41,0)</f>
        <v>0.15</v>
      </c>
      <c r="E46" s="101" t="n">
        <f aca="false">IF(E41&gt;0,INDEX(B4_MixPaid,1,3)*E40/E41,0)</f>
        <v>0.15</v>
      </c>
      <c r="F46" s="101" t="n">
        <f aca="false">IF(F41&gt;0,INDEX(B4_MixPaid,1,3)*F40/F41,0)</f>
        <v>0.15</v>
      </c>
      <c r="G46" s="101" t="n">
        <f aca="false">IF(G41&gt;0,INDEX(B4_MixPaid,1,3)*G40/G41,0)</f>
        <v>0.15</v>
      </c>
      <c r="H46" s="101" t="n">
        <f aca="false">IF(H41&gt;0,INDEX(B4_MixPaid,1,3)*H40/H41,0)</f>
        <v>0.15</v>
      </c>
      <c r="I46" s="101" t="n">
        <f aca="false">IF(I41&gt;0,INDEX(B4_MixPaid,1,3)*I40/I41,0)</f>
        <v>0.15</v>
      </c>
      <c r="J46" s="101" t="n">
        <f aca="false">IF(J41&gt;0,INDEX(B4_MixPaid,1,3)*J40/J41,0)</f>
        <v>0.15</v>
      </c>
      <c r="K46" s="101" t="n">
        <f aca="false">IF(K41&gt;0,INDEX(B4_MixPaid,1,3)*K40/K41,0)</f>
        <v>0.15</v>
      </c>
      <c r="L46" s="101" t="n">
        <f aca="false">IF(L41&gt;0,INDEX(B4_MixPaid,1,3)*L40/L41,0)</f>
        <v>0.15</v>
      </c>
      <c r="M46" s="101" t="n">
        <f aca="false">IF(M41&gt;0,INDEX(B4_MixPaid,1,3)*M40/M41,0)</f>
        <v>0.15</v>
      </c>
      <c r="N46" s="101" t="n">
        <f aca="false">IF(N41&gt;0,INDEX(B4_MixPaid,1,3)*N40/N41,0)</f>
        <v>0.15</v>
      </c>
      <c r="O46" s="101" t="n">
        <f aca="false">IF(O41&gt;0,INDEX(B4_MixPaid,1,3)*O40/O41,0)</f>
        <v>0.15</v>
      </c>
      <c r="P46" s="101" t="n">
        <f aca="false">IF(P41&gt;0,INDEX(B4_MixPaid,1,3)*P40/P41,0)</f>
        <v>0.15</v>
      </c>
      <c r="Q46" s="101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1759</v>
      </c>
      <c r="B47" s="59" t="s">
        <v>93</v>
      </c>
      <c r="C47" s="101" t="n">
        <f aca="false">IF(C42&gt;0,INDEX(B4_MixFree,1,1)*C38/C42,0)</f>
        <v>0.9</v>
      </c>
      <c r="D47" s="101" t="n">
        <f aca="false">IF(D42&gt;0,INDEX(B4_MixFree,1,1)*D38/D42,0)</f>
        <v>0.9</v>
      </c>
      <c r="E47" s="101" t="n">
        <f aca="false">IF(E42&gt;0,INDEX(B4_MixFree,1,1)*E38/E42,0)</f>
        <v>0.9</v>
      </c>
      <c r="F47" s="101" t="n">
        <f aca="false">IF(F42&gt;0,INDEX(B4_MixFree,1,1)*F38/F42,0)</f>
        <v>0.9</v>
      </c>
      <c r="G47" s="101" t="n">
        <f aca="false">IF(G42&gt;0,INDEX(B4_MixFree,1,1)*G38/G42,0)</f>
        <v>0.9</v>
      </c>
      <c r="H47" s="101" t="n">
        <f aca="false">IF(H42&gt;0,INDEX(B4_MixFree,1,1)*H38/H42,0)</f>
        <v>0.9</v>
      </c>
      <c r="I47" s="101" t="n">
        <f aca="false">IF(I42&gt;0,INDEX(B4_MixFree,1,1)*I38/I42,0)</f>
        <v>0.9</v>
      </c>
      <c r="J47" s="101" t="n">
        <f aca="false">IF(J42&gt;0,INDEX(B4_MixFree,1,1)*J38/J42,0)</f>
        <v>0.9</v>
      </c>
      <c r="K47" s="101" t="n">
        <f aca="false">IF(K42&gt;0,INDEX(B4_MixFree,1,1)*K38/K42,0)</f>
        <v>0.9</v>
      </c>
      <c r="L47" s="101" t="n">
        <f aca="false">IF(L42&gt;0,INDEX(B4_MixFree,1,1)*L38/L42,0)</f>
        <v>0.9</v>
      </c>
      <c r="M47" s="101" t="n">
        <f aca="false">IF(M42&gt;0,INDEX(B4_MixFree,1,1)*M38/M42,0)</f>
        <v>0.9</v>
      </c>
      <c r="N47" s="101" t="n">
        <f aca="false">IF(N42&gt;0,INDEX(B4_MixFree,1,1)*N38/N42,0)</f>
        <v>0.9</v>
      </c>
      <c r="O47" s="101" t="n">
        <f aca="false">IF(O42&gt;0,INDEX(B4_MixFree,1,1)*O38/O42,0)</f>
        <v>0.9</v>
      </c>
      <c r="P47" s="101" t="n">
        <f aca="false">IF(P42&gt;0,INDEX(B4_MixFree,1,1)*P38/P42,0)</f>
        <v>0.9</v>
      </c>
      <c r="Q47" s="101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1760</v>
      </c>
      <c r="B48" s="59" t="s">
        <v>93</v>
      </c>
      <c r="C48" s="101" t="n">
        <f aca="false">IF(C42&gt;0,INDEX(B4_MixFree,1,2)*C39/C42,0)</f>
        <v>0.1</v>
      </c>
      <c r="D48" s="101" t="n">
        <f aca="false">IF(D42&gt;0,INDEX(B4_MixFree,1,2)*D39/D42,0)</f>
        <v>0.1</v>
      </c>
      <c r="E48" s="101" t="n">
        <f aca="false">IF(E42&gt;0,INDEX(B4_MixFree,1,2)*E39/E42,0)</f>
        <v>0.1</v>
      </c>
      <c r="F48" s="101" t="n">
        <f aca="false">IF(F42&gt;0,INDEX(B4_MixFree,1,2)*F39/F42,0)</f>
        <v>0.1</v>
      </c>
      <c r="G48" s="101" t="n">
        <f aca="false">IF(G42&gt;0,INDEX(B4_MixFree,1,2)*G39/G42,0)</f>
        <v>0.1</v>
      </c>
      <c r="H48" s="101" t="n">
        <f aca="false">IF(H42&gt;0,INDEX(B4_MixFree,1,2)*H39/H42,0)</f>
        <v>0.1</v>
      </c>
      <c r="I48" s="101" t="n">
        <f aca="false">IF(I42&gt;0,INDEX(B4_MixFree,1,2)*I39/I42,0)</f>
        <v>0.1</v>
      </c>
      <c r="J48" s="101" t="n">
        <f aca="false">IF(J42&gt;0,INDEX(B4_MixFree,1,2)*J39/J42,0)</f>
        <v>0.1</v>
      </c>
      <c r="K48" s="101" t="n">
        <f aca="false">IF(K42&gt;0,INDEX(B4_MixFree,1,2)*K39/K42,0)</f>
        <v>0.1</v>
      </c>
      <c r="L48" s="101" t="n">
        <f aca="false">IF(L42&gt;0,INDEX(B4_MixFree,1,2)*L39/L42,0)</f>
        <v>0.1</v>
      </c>
      <c r="M48" s="101" t="n">
        <f aca="false">IF(M42&gt;0,INDEX(B4_MixFree,1,2)*M39/M42,0)</f>
        <v>0.1</v>
      </c>
      <c r="N48" s="101" t="n">
        <f aca="false">IF(N42&gt;0,INDEX(B4_MixFree,1,2)*N39/N42,0)</f>
        <v>0.1</v>
      </c>
      <c r="O48" s="101" t="n">
        <f aca="false">IF(O42&gt;0,INDEX(B4_MixFree,1,2)*O39/O42,0)</f>
        <v>0.1</v>
      </c>
      <c r="P48" s="101" t="n">
        <f aca="false">IF(P42&gt;0,INDEX(B4_MixFree,1,2)*P39/P42,0)</f>
        <v>0.1</v>
      </c>
      <c r="Q48" s="101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1761</v>
      </c>
      <c r="B49" s="59" t="s">
        <v>93</v>
      </c>
      <c r="C49" s="101" t="n">
        <f aca="false">IF(C42&gt;0,INDEX(B4_MixFree,1,3)*C40/C42,0)</f>
        <v>0</v>
      </c>
      <c r="D49" s="101" t="n">
        <f aca="false">IF(D42&gt;0,INDEX(B4_MixFree,1,3)*D40/D42,0)</f>
        <v>0</v>
      </c>
      <c r="E49" s="101" t="n">
        <f aca="false">IF(E42&gt;0,INDEX(B4_MixFree,1,3)*E40/E42,0)</f>
        <v>0</v>
      </c>
      <c r="F49" s="101" t="n">
        <f aca="false">IF(F42&gt;0,INDEX(B4_MixFree,1,3)*F40/F42,0)</f>
        <v>0</v>
      </c>
      <c r="G49" s="101" t="n">
        <f aca="false">IF(G42&gt;0,INDEX(B4_MixFree,1,3)*G40/G42,0)</f>
        <v>0</v>
      </c>
      <c r="H49" s="101" t="n">
        <f aca="false">IF(H42&gt;0,INDEX(B4_MixFree,1,3)*H40/H42,0)</f>
        <v>0</v>
      </c>
      <c r="I49" s="101" t="n">
        <f aca="false">IF(I42&gt;0,INDEX(B4_MixFree,1,3)*I40/I42,0)</f>
        <v>0</v>
      </c>
      <c r="J49" s="101" t="n">
        <f aca="false">IF(J42&gt;0,INDEX(B4_MixFree,1,3)*J40/J42,0)</f>
        <v>0</v>
      </c>
      <c r="K49" s="101" t="n">
        <f aca="false">IF(K42&gt;0,INDEX(B4_MixFree,1,3)*K40/K42,0)</f>
        <v>0</v>
      </c>
      <c r="L49" s="101" t="n">
        <f aca="false">IF(L42&gt;0,INDEX(B4_MixFree,1,3)*L40/L42,0)</f>
        <v>0</v>
      </c>
      <c r="M49" s="101" t="n">
        <f aca="false">IF(M42&gt;0,INDEX(B4_MixFree,1,3)*M40/M42,0)</f>
        <v>0</v>
      </c>
      <c r="N49" s="101" t="n">
        <f aca="false">IF(N42&gt;0,INDEX(B4_MixFree,1,3)*N40/N42,0)</f>
        <v>0</v>
      </c>
      <c r="O49" s="101" t="n">
        <f aca="false">IF(O42&gt;0,INDEX(B4_MixFree,1,3)*O40/O42,0)</f>
        <v>0</v>
      </c>
      <c r="P49" s="101" t="n">
        <f aca="false">IF(P42&gt;0,INDEX(B4_MixFree,1,3)*P40/P42,0)</f>
        <v>0</v>
      </c>
      <c r="Q49" s="101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1762</v>
      </c>
    </row>
    <row r="2" customFormat="false" ht="15" hidden="false" customHeight="false" outlineLevel="0" collapsed="false">
      <c r="A2" s="71" t="s">
        <v>1763</v>
      </c>
    </row>
    <row r="4" customFormat="false" ht="15" hidden="false" customHeight="false" outlineLevel="0" collapsed="false">
      <c r="A4" s="57" t="s">
        <v>165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440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249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1764</v>
      </c>
      <c r="B10" s="59" t="s">
        <v>865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1765</v>
      </c>
      <c r="B11" s="59" t="s">
        <v>787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29.85" hidden="false" customHeight="false" outlineLevel="0" collapsed="false">
      <c r="A12" s="5" t="s">
        <v>1766</v>
      </c>
      <c r="B12" s="59" t="s">
        <v>1767</v>
      </c>
      <c r="C12" s="60" t="n">
        <f aca="false">IF(ISNUMBER(Fleet_1GW!C21),Fleet_1GW!C21*INDEX(B4_Life,1,1)/12,"SLO 不可達")</f>
        <v>817042419.593355</v>
      </c>
      <c r="D12" s="60" t="n">
        <f aca="false">IF(ISNUMBER(Fleet_1GW!D21),Fleet_1GW!D21*INDEX(B4_Life,1,1)/12,"SLO 不可達")</f>
        <v>817042419.593355</v>
      </c>
      <c r="E12" s="60" t="n">
        <f aca="false">IF(ISNUMBER(Fleet_1GW!E21),Fleet_1GW!E21*INDEX(B4_Life,1,1)/12,"SLO 不可達")</f>
        <v>817042419.593355</v>
      </c>
      <c r="F12" s="60" t="n">
        <f aca="false">IF(ISNUMBER(Fleet_1GW!F21),Fleet_1GW!F21*INDEX(B4_Life,1,1)/12,"SLO 不可達")</f>
        <v>4115849928.14302</v>
      </c>
      <c r="G12" s="60" t="n">
        <f aca="false">IF(ISNUMBER(Fleet_1GW!G21),Fleet_1GW!G21*INDEX(B4_Life,1,1)/12,"SLO 不可達")</f>
        <v>4115849928.14302</v>
      </c>
      <c r="H12" s="60" t="n">
        <f aca="false">IF(ISNUMBER(Fleet_1GW!H21),Fleet_1GW!H21*INDEX(B4_Life,1,1)/12,"SLO 不可達")</f>
        <v>4115849928.14302</v>
      </c>
      <c r="I12" s="60" t="n">
        <f aca="false">IF(ISNUMBER(Fleet_1GW!I21),Fleet_1GW!I21*INDEX(B4_Life,1,1)/12,"SLO 不可達")</f>
        <v>5358405295.61443</v>
      </c>
      <c r="J12" s="60" t="n">
        <f aca="false">IF(ISNUMBER(Fleet_1GW!J21),Fleet_1GW!J21*INDEX(B4_Life,1,1)/12,"SLO 不可達")</f>
        <v>5358405295.61443</v>
      </c>
      <c r="K12" s="60" t="n">
        <f aca="false">IF(ISNUMBER(Fleet_1GW!K21),Fleet_1GW!K21*INDEX(B4_Life,1,1)/12,"SLO 不可達")</f>
        <v>5358405295.61443</v>
      </c>
      <c r="L12" s="60" t="n">
        <f aca="false">IF(ISNUMBER(Fleet_1GW!L21),Fleet_1GW!L21*INDEX(B4_Life,1,1)/12,"SLO 不可達")</f>
        <v>9940186549.66862</v>
      </c>
      <c r="M12" s="60" t="n">
        <f aca="false">IF(ISNUMBER(Fleet_1GW!M21),Fleet_1GW!M21*INDEX(B4_Life,1,1)/12,"SLO 不可達")</f>
        <v>9940186549.66862</v>
      </c>
      <c r="N12" s="60" t="n">
        <f aca="false">IF(ISNUMBER(Fleet_1GW!N21),Fleet_1GW!N21*INDEX(B4_Life,1,1)/12,"SLO 不可達")</f>
        <v>9940186549.66862</v>
      </c>
      <c r="O12" s="60" t="n">
        <f aca="false">IF(ISNUMBER(Fleet_1GW!O21),Fleet_1GW!O21*INDEX(B4_Life,1,1)/12,"SLO 不可達")</f>
        <v>14062015619.0357</v>
      </c>
      <c r="P12" s="60" t="n">
        <f aca="false">IF(ISNUMBER(Fleet_1GW!P21),Fleet_1GW!P21*INDEX(B4_Life,1,1)/12,"SLO 不可達")</f>
        <v>14062015619.0357</v>
      </c>
      <c r="Q12" s="60" t="n">
        <f aca="false">IF(ISNUMBER(Fleet_1GW!Q21),Fleet_1GW!Q21*INDEX(B4_Life,1,1)/12,"SLO 不可達")</f>
        <v>14062015619.0357</v>
      </c>
    </row>
    <row r="13" customFormat="false" ht="26.85" hidden="false" customHeight="false" outlineLevel="0" collapsed="false">
      <c r="A13" s="5" t="s">
        <v>1768</v>
      </c>
      <c r="B13" s="59" t="s">
        <v>795</v>
      </c>
      <c r="C13" s="154" t="n">
        <f aca="false">IF(AND(ISNUMBER(C12),ISNUMBER(C10)),IF(C12&gt;0,C10*1000000/C12,0),"SLO 不可達")</f>
        <v>0.0675943514185168</v>
      </c>
      <c r="D13" s="154" t="n">
        <f aca="false">IF(AND(ISNUMBER(D12),ISNUMBER(D10)),IF(D12&gt;0,D10*1000000/D12,0),"SLO 不可達")</f>
        <v>0.0965788075303962</v>
      </c>
      <c r="E13" s="154" t="n">
        <f aca="false">IF(AND(ISNUMBER(E12),ISNUMBER(E10)),IF(E12&gt;0,E10*1000000/E12,0),"SLO 不可達")</f>
        <v>0.165861334891334</v>
      </c>
      <c r="F13" s="154" t="n">
        <f aca="false">IF(AND(ISNUMBER(F12),ISNUMBER(F10)),IF(F12&gt;0,F10*1000000/F12,0),"SLO 不可達")</f>
        <v>0.00608081231226111</v>
      </c>
      <c r="G13" s="154" t="n">
        <f aca="false">IF(AND(ISNUMBER(G12),ISNUMBER(G10)),IF(G12&gt;0,G10*1000000/G12,0),"SLO 不可達")</f>
        <v>0.00811916357405977</v>
      </c>
      <c r="H13" s="154" t="n">
        <f aca="false">IF(AND(ISNUMBER(H12),ISNUMBER(H10)),IF(H12&gt;0,H10*1000000/H12,0),"SLO 不可達")</f>
        <v>0.0131686306269498</v>
      </c>
      <c r="I13" s="154" t="n">
        <f aca="false">IF(AND(ISNUMBER(I12),ISNUMBER(I10)),IF(I12&gt;0,I10*1000000/I12,0),"SLO 不可達")</f>
        <v>0.00523654199470806</v>
      </c>
      <c r="J13" s="154" t="n">
        <f aca="false">IF(AND(ISNUMBER(J12),ISNUMBER(J10)),IF(J12&gt;0,J10*1000000/J12,0),"SLO 不可達")</f>
        <v>0.00676329702928261</v>
      </c>
      <c r="K13" s="154" t="n">
        <f aca="false">IF(AND(ISNUMBER(K12),ISNUMBER(K10)),IF(K12&gt;0,K10*1000000/K12,0),"SLO 不可達")</f>
        <v>0.0115148429406192</v>
      </c>
      <c r="L13" s="154" t="n">
        <f aca="false">IF(AND(ISNUMBER(L12),ISNUMBER(L10)),IF(L12&gt;0,L10*1000000/L12,0),"SLO 不可達")</f>
        <v>0.00210940192005383</v>
      </c>
      <c r="M13" s="154" t="n">
        <f aca="false">IF(AND(ISNUMBER(M12),ISNUMBER(M10)),IF(M12&gt;0,M10*1000000/M12,0),"SLO 不可達")</f>
        <v>0.00271112526016618</v>
      </c>
      <c r="N13" s="154" t="n">
        <f aca="false">IF(AND(ISNUMBER(N12),ISNUMBER(N10)),IF(N12&gt;0,N10*1000000/N12,0),"SLO 不可達")</f>
        <v>0.00437990681219042</v>
      </c>
      <c r="O13" s="154" t="n">
        <f aca="false">IF(AND(ISNUMBER(O12),ISNUMBER(O10)),IF(O12&gt;0,O10*1000000/O12,0),"SLO 不可達")</f>
        <v>0.00102767416465181</v>
      </c>
      <c r="P13" s="154" t="n">
        <f aca="false">IF(AND(ISNUMBER(P12),ISNUMBER(P10)),IF(P12&gt;0,P10*1000000/P12,0),"SLO 不可達")</f>
        <v>0.00156192381970931</v>
      </c>
      <c r="Q13" s="154" t="n">
        <f aca="false">IF(AND(ISNUMBER(Q12),ISNUMBER(Q10)),IF(Q12&gt;0,Q10*1000000/Q12,0),"SLO 不可達")</f>
        <v>0.00285135671460905</v>
      </c>
    </row>
    <row r="14" customFormat="false" ht="15" hidden="false" customHeight="false" outlineLevel="0" collapsed="false">
      <c r="A14" s="5" t="s">
        <v>1769</v>
      </c>
      <c r="B14" s="59" t="s">
        <v>795</v>
      </c>
      <c r="C14" s="155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5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5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5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5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5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5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5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5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5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5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5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5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5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5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1770</v>
      </c>
      <c r="B15" s="59" t="s">
        <v>795</v>
      </c>
      <c r="C15" s="156" t="n">
        <f aca="false">IF(ISNUMBER(C14),Fleet_1GW!C13/(1-Fleet_1GW!C13)*C14,"SLO 不可達")</f>
        <v>0.174582269222117</v>
      </c>
      <c r="D15" s="156" t="n">
        <f aca="false">IF(ISNUMBER(D14),Fleet_1GW!D13/(1-Fleet_1GW!D13)*D14,"SLO 不可達")</f>
        <v>0.249436457494237</v>
      </c>
      <c r="E15" s="156" t="n">
        <f aca="false">IF(ISNUMBER(E14),Fleet_1GW!E13/(1-Fleet_1GW!E13)*E14,"SLO 不可達")</f>
        <v>0.428362959583001</v>
      </c>
      <c r="F15" s="156" t="n">
        <f aca="false">IF(ISNUMBER(F14),Fleet_1GW!F13/(1-Fleet_1GW!F13)*F14,"SLO 不可達")</f>
        <v>0.0375494516895087</v>
      </c>
      <c r="G15" s="156" t="n">
        <f aca="false">IF(ISNUMBER(G14),Fleet_1GW!G13/(1-Fleet_1GW!G13)*G14,"SLO 不可達")</f>
        <v>0.0501311914724947</v>
      </c>
      <c r="H15" s="156" t="n">
        <f aca="false">IF(ISNUMBER(H14),Fleet_1GW!H13/(1-Fleet_1GW!H13)*H14,"SLO 不可達")</f>
        <v>0.0812990680268838</v>
      </c>
      <c r="I15" s="156" t="n">
        <f aca="false">IF(ISNUMBER(I14),Fleet_1GW!I13/(1-Fleet_1GW!I13)*I14,"SLO 不可達")</f>
        <v>0.0328877428291374</v>
      </c>
      <c r="J15" s="156" t="n">
        <f aca="false">IF(ISNUMBER(J14),Fleet_1GW!J13/(1-Fleet_1GW!J13)*J14,"SLO 不可達")</f>
        <v>0.042471878268405</v>
      </c>
      <c r="K15" s="156" t="n">
        <f aca="false">IF(ISNUMBER(K14),Fleet_1GW!K13/(1-Fleet_1GW!K13)*K14,"SLO 不可達")</f>
        <v>0.0722994920825873</v>
      </c>
      <c r="L15" s="156" t="n">
        <f aca="false">IF(ISNUMBER(L14),Fleet_1GW!L13/(1-Fleet_1GW!L13)*L14,"SLO 不可達")</f>
        <v>0.0251536892040573</v>
      </c>
      <c r="M15" s="156" t="n">
        <f aca="false">IF(ISNUMBER(M14),Fleet_1GW!M13/(1-Fleet_1GW!M13)*M14,"SLO 不可達")</f>
        <v>0.0323245284874553</v>
      </c>
      <c r="N15" s="156" t="n">
        <f aca="false">IF(ISNUMBER(N14),Fleet_1GW!N13/(1-Fleet_1GW!N13)*N14,"SLO 不可達")</f>
        <v>0.0522116817868949</v>
      </c>
      <c r="O15" s="156" t="n">
        <f aca="false">IF(ISNUMBER(O14),Fleet_1GW!O13/(1-Fleet_1GW!O13)*O14,"SLO 不可達")</f>
        <v>0.0197559108737738</v>
      </c>
      <c r="P15" s="156" t="n">
        <f aca="false">IF(ISNUMBER(P14),Fleet_1GW!P13/(1-Fleet_1GW!P13)*P14,"SLO 不可達")</f>
        <v>0.030018171995636</v>
      </c>
      <c r="Q15" s="156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1771</v>
      </c>
      <c r="B16" s="59" t="s">
        <v>97</v>
      </c>
      <c r="C16" s="72" t="n">
        <f aca="false">IF(AND(ISNUMBER(C13),ISNUMBER(C15)),IF(C13&gt;0,C15/C13,0),"SLO 不可達")</f>
        <v>2.58279376247246</v>
      </c>
      <c r="D16" s="72" t="n">
        <f aca="false">IF(AND(ISNUMBER(D13),ISNUMBER(D15)),IF(D13&gt;0,D15/D13,0),"SLO 不可達")</f>
        <v>2.58272455285526</v>
      </c>
      <c r="E16" s="72" t="n">
        <f aca="false">IF(AND(ISNUMBER(E13),ISNUMBER(E15)),IF(E13&gt;0,E15/E13,0),"SLO 不可達")</f>
        <v>2.58265713262015</v>
      </c>
      <c r="F16" s="72" t="n">
        <f aca="false">IF(AND(ISNUMBER(F13),ISNUMBER(F15)),IF(F13&gt;0,F15/F13,0),"SLO 不可達")</f>
        <v>6.17507164524638</v>
      </c>
      <c r="G16" s="72" t="n">
        <f aca="false">IF(AND(ISNUMBER(G13),ISNUMBER(G15)),IF(G13&gt;0,G15/G13,0),"SLO 不可達")</f>
        <v>6.17442806949484</v>
      </c>
      <c r="H16" s="72" t="n">
        <f aca="false">IF(AND(ISNUMBER(H13),ISNUMBER(H15)),IF(H13&gt;0,H15/H13,0),"SLO 不可達")</f>
        <v>6.17369188414351</v>
      </c>
      <c r="I16" s="72" t="n">
        <f aca="false">IF(AND(ISNUMBER(I13),ISNUMBER(I15)),IF(I13&gt;0,I15/I13,0),"SLO 不可達")</f>
        <v>6.28043141110548</v>
      </c>
      <c r="J16" s="72" t="n">
        <f aca="false">IF(AND(ISNUMBER(J13),ISNUMBER(J15)),IF(J13&gt;0,J15/J13,0),"SLO 不可達")</f>
        <v>6.2797594256939</v>
      </c>
      <c r="K16" s="72" t="n">
        <f aca="false">IF(AND(ISNUMBER(K13),ISNUMBER(K15)),IF(K13&gt;0,K15/K13,0),"SLO 不可達")</f>
        <v>6.27880835678157</v>
      </c>
      <c r="L16" s="72" t="n">
        <f aca="false">IF(AND(ISNUMBER(L13),ISNUMBER(L15)),IF(L13&gt;0,L15/L13,0),"SLO 不可達")</f>
        <v>11.9245597365415</v>
      </c>
      <c r="M16" s="72" t="n">
        <f aca="false">IF(AND(ISNUMBER(M13),ISNUMBER(M15)),IF(M13&gt;0,M15/M13,0),"SLO 不可達")</f>
        <v>11.9229195944543</v>
      </c>
      <c r="N16" s="72" t="n">
        <f aca="false">IF(AND(ISNUMBER(N13),ISNUMBER(N15)),IF(N13&gt;0,N15/N13,0),"SLO 不可達")</f>
        <v>11.9207289163268</v>
      </c>
      <c r="O16" s="72" t="n">
        <f aca="false">IF(AND(ISNUMBER(O13),ISNUMBER(O15)),IF(O13&gt;0,O15/O13,0),"SLO 不可達")</f>
        <v>19.2239053518169</v>
      </c>
      <c r="P16" s="72" t="n">
        <f aca="false">IF(AND(ISNUMBER(P13),ISNUMBER(P15)),IF(P13&gt;0,P15/P13,0),"SLO 不可達")</f>
        <v>19.2187170826441</v>
      </c>
      <c r="Q16" s="72" t="n">
        <f aca="false">IF(AND(ISNUMBER(Q13),ISNUMBER(Q15)),IF(Q13&gt;0,Q15/Q13,0),"SLO 不可達")</f>
        <v>19.2142039210808</v>
      </c>
    </row>
    <row r="18" customFormat="false" ht="15" hidden="false" customHeight="false" outlineLevel="0" collapsed="false">
      <c r="A18" s="73" t="s">
        <v>250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1764</v>
      </c>
      <c r="B19" s="59" t="s">
        <v>865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1765</v>
      </c>
      <c r="B20" s="59" t="s">
        <v>787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29.85" hidden="false" customHeight="false" outlineLevel="0" collapsed="false">
      <c r="A21" s="5" t="s">
        <v>1766</v>
      </c>
      <c r="B21" s="59" t="s">
        <v>1767</v>
      </c>
      <c r="C21" s="60" t="n">
        <f aca="false">IF(ISNUMBER(Fleet_1GW!C24),Fleet_1GW!C24*INDEX(B4_Life,1,2)/12,"SLO 不可達")</f>
        <v>919172722.042524</v>
      </c>
      <c r="D21" s="60" t="n">
        <f aca="false">IF(ISNUMBER(Fleet_1GW!D24),Fleet_1GW!D24*INDEX(B4_Life,1,2)/12,"SLO 不可達")</f>
        <v>919172722.042524</v>
      </c>
      <c r="E21" s="60" t="n">
        <f aca="false">IF(ISNUMBER(Fleet_1GW!E24),Fleet_1GW!E24*INDEX(B4_Life,1,2)/12,"SLO 不可達")</f>
        <v>919172722.042524</v>
      </c>
      <c r="F21" s="60" t="n">
        <f aca="false">IF(ISNUMBER(Fleet_1GW!F24),Fleet_1GW!F24*INDEX(B4_Life,1,2)/12,"SLO 不可達")</f>
        <v>4630331169.1609</v>
      </c>
      <c r="G21" s="60" t="n">
        <f aca="false">IF(ISNUMBER(Fleet_1GW!G24),Fleet_1GW!G24*INDEX(B4_Life,1,2)/12,"SLO 不可達")</f>
        <v>4630331169.1609</v>
      </c>
      <c r="H21" s="60" t="n">
        <f aca="false">IF(ISNUMBER(Fleet_1GW!H24),Fleet_1GW!H24*INDEX(B4_Life,1,2)/12,"SLO 不可達")</f>
        <v>4630331169.1609</v>
      </c>
      <c r="I21" s="60" t="n">
        <f aca="false">IF(ISNUMBER(Fleet_1GW!I24),Fleet_1GW!I24*INDEX(B4_Life,1,2)/12,"SLO 不可達")</f>
        <v>6028205957.56624</v>
      </c>
      <c r="J21" s="60" t="n">
        <f aca="false">IF(ISNUMBER(Fleet_1GW!J24),Fleet_1GW!J24*INDEX(B4_Life,1,2)/12,"SLO 不可達")</f>
        <v>6028205957.56624</v>
      </c>
      <c r="K21" s="60" t="n">
        <f aca="false">IF(ISNUMBER(Fleet_1GW!K24),Fleet_1GW!K24*INDEX(B4_Life,1,2)/12,"SLO 不可達")</f>
        <v>6028205957.56624</v>
      </c>
      <c r="L21" s="60" t="n">
        <f aca="false">IF(ISNUMBER(Fleet_1GW!L24),Fleet_1GW!L24*INDEX(B4_Life,1,2)/12,"SLO 不可達")</f>
        <v>11182709868.3772</v>
      </c>
      <c r="M21" s="60" t="n">
        <f aca="false">IF(ISNUMBER(Fleet_1GW!M24),Fleet_1GW!M24*INDEX(B4_Life,1,2)/12,"SLO 不可達")</f>
        <v>11182709868.3772</v>
      </c>
      <c r="N21" s="60" t="n">
        <f aca="false">IF(ISNUMBER(Fleet_1GW!N24),Fleet_1GW!N24*INDEX(B4_Life,1,2)/12,"SLO 不可達")</f>
        <v>11182709868.3772</v>
      </c>
      <c r="O21" s="60" t="n">
        <f aca="false">IF(ISNUMBER(Fleet_1GW!O24),Fleet_1GW!O24*INDEX(B4_Life,1,2)/12,"SLO 不可達")</f>
        <v>15819767571.4152</v>
      </c>
      <c r="P21" s="60" t="n">
        <f aca="false">IF(ISNUMBER(Fleet_1GW!P24),Fleet_1GW!P24*INDEX(B4_Life,1,2)/12,"SLO 不可達")</f>
        <v>15819767571.4152</v>
      </c>
      <c r="Q21" s="60" t="n">
        <f aca="false">IF(ISNUMBER(Fleet_1GW!Q24),Fleet_1GW!Q24*INDEX(B4_Life,1,2)/12,"SLO 不可達")</f>
        <v>15819767571.4152</v>
      </c>
    </row>
    <row r="22" customFormat="false" ht="26.85" hidden="false" customHeight="false" outlineLevel="0" collapsed="false">
      <c r="A22" s="5" t="s">
        <v>1772</v>
      </c>
      <c r="B22" s="59" t="s">
        <v>795</v>
      </c>
      <c r="C22" s="154" t="n">
        <f aca="false">IF(AND(ISNUMBER(C21),ISNUMBER(C19)),IF(C21&gt;0,C19*1000000/C21,0),"SLO 不可達")</f>
        <v>0.171010511050873</v>
      </c>
      <c r="D22" s="154" t="n">
        <f aca="false">IF(AND(ISNUMBER(D21),ISNUMBER(D19)),IF(D21&gt;0,D19*1000000/D21,0),"SLO 不可達")</f>
        <v>0.244339813695328</v>
      </c>
      <c r="E22" s="154" t="n">
        <f aca="false">IF(AND(ISNUMBER(E21),ISNUMBER(E19)),IF(E21&gt;0,E19*1000000/E21,0),"SLO 不可達")</f>
        <v>0.419621330009195</v>
      </c>
      <c r="F22" s="154" t="n">
        <f aca="false">IF(AND(ISNUMBER(F21),ISNUMBER(F19)),IF(F21&gt;0,F19*1000000/F21,0),"SLO 不可達")</f>
        <v>0.0159893801066744</v>
      </c>
      <c r="G22" s="154" t="n">
        <f aca="false">IF(AND(ISNUMBER(G21),ISNUMBER(G19)),IF(G21&gt;0,G19*1000000/G21,0),"SLO 不可達")</f>
        <v>0.0213491859092809</v>
      </c>
      <c r="H22" s="154" t="n">
        <f aca="false">IF(AND(ISNUMBER(H21),ISNUMBER(H19)),IF(H21&gt;0,H19*1000000/H21,0),"SLO 不可達")</f>
        <v>0.0346266633084749</v>
      </c>
      <c r="I22" s="154" t="n">
        <f aca="false">IF(AND(ISNUMBER(I21),ISNUMBER(I19)),IF(I21&gt;0,I19*1000000/I21,0),"SLO 不可達")</f>
        <v>0.0143002608542256</v>
      </c>
      <c r="J22" s="154" t="n">
        <f aca="false">IF(AND(ISNUMBER(J21),ISNUMBER(J19)),IF(J21&gt;0,J19*1000000/J21,0),"SLO 不可達")</f>
        <v>0.018469614461431</v>
      </c>
      <c r="K22" s="154" t="n">
        <f aca="false">IF(AND(ISNUMBER(K21),ISNUMBER(K19)),IF(K21&gt;0,K19*1000000/K21,0),"SLO 不可達")</f>
        <v>0.0314454191167951</v>
      </c>
      <c r="L22" s="154" t="n">
        <f aca="false">IF(AND(ISNUMBER(L21),ISNUMBER(L19)),IF(L21&gt;0,L19*1000000/L21,0),"SLO 不可達")</f>
        <v>0.00546184221580753</v>
      </c>
      <c r="M22" s="154" t="n">
        <f aca="false">IF(AND(ISNUMBER(M21),ISNUMBER(M19)),IF(M21&gt;0,M19*1000000/M21,0),"SLO 不可達")</f>
        <v>0.00701987528196614</v>
      </c>
      <c r="N22" s="154" t="n">
        <f aca="false">IF(AND(ISNUMBER(N21),ISNUMBER(N19)),IF(N21&gt;0,N19*1000000/N21,0),"SLO 不可達")</f>
        <v>0.0113408258998428</v>
      </c>
      <c r="O22" s="154" t="n">
        <f aca="false">IF(AND(ISNUMBER(O21),ISNUMBER(O19)),IF(O21&gt;0,O19*1000000/O21,0),"SLO 不可達")</f>
        <v>0.00275204867902514</v>
      </c>
      <c r="P22" s="154" t="n">
        <f aca="false">IF(AND(ISNUMBER(P21),ISNUMBER(P19)),IF(P21&gt;0,P19*1000000/P21,0),"SLO 不可達")</f>
        <v>0.00418273664223652</v>
      </c>
      <c r="Q22" s="154" t="n">
        <f aca="false">IF(AND(ISNUMBER(Q21),ISNUMBER(Q19)),IF(Q21&gt;0,Q19*1000000/Q21,0),"SLO 不可達")</f>
        <v>0.00763575922192034</v>
      </c>
    </row>
    <row r="23" customFormat="false" ht="15" hidden="false" customHeight="false" outlineLevel="0" collapsed="false">
      <c r="A23" s="5" t="s">
        <v>1769</v>
      </c>
      <c r="B23" s="59" t="s">
        <v>795</v>
      </c>
      <c r="C23" s="155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5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5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5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5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5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5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5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5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5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5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5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5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5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5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1773</v>
      </c>
      <c r="B24" s="59" t="s">
        <v>795</v>
      </c>
      <c r="C24" s="156" t="n">
        <f aca="false">IF(ISNUMBER(C23),Fleet_1GW!C13/(1-Fleet_1GW!C13)*C23,"SLO 不可達")</f>
        <v>0.600549705636422</v>
      </c>
      <c r="D24" s="156" t="n">
        <f aca="false">IF(ISNUMBER(D23),Fleet_1GW!D13/(1-Fleet_1GW!D13)*D23,"SLO 不可達")</f>
        <v>0.858055921418767</v>
      </c>
      <c r="E24" s="156" t="n">
        <f aca="false">IF(ISNUMBER(E23),Fleet_1GW!E13/(1-Fleet_1GW!E13)*E23,"SLO 不可達")</f>
        <v>1.47358175263281</v>
      </c>
      <c r="F24" s="156" t="n">
        <f aca="false">IF(ISNUMBER(F23),Fleet_1GW!F13/(1-Fleet_1GW!F13)*F23,"SLO 不可達")</f>
        <v>0.130648458909903</v>
      </c>
      <c r="G24" s="156" t="n">
        <f aca="false">IF(ISNUMBER(G23),Fleet_1GW!G13/(1-Fleet_1GW!G13)*G23,"SLO 不可達")</f>
        <v>0.174435762741057</v>
      </c>
      <c r="H24" s="156" t="n">
        <f aca="false">IF(ISNUMBER(H23),Fleet_1GW!H13/(1-Fleet_1GW!H13)*H23,"SLO 不可達")</f>
        <v>0.282907031738724</v>
      </c>
      <c r="I24" s="156" t="n">
        <f aca="false">IF(ISNUMBER(I23),Fleet_1GW!I13/(1-Fleet_1GW!I13)*I23,"SLO 不可達")</f>
        <v>0.114412296158999</v>
      </c>
      <c r="J24" s="156" t="n">
        <f aca="false">IF(ISNUMBER(J23),Fleet_1GW!J13/(1-Fleet_1GW!J13)*J23,"SLO 不可達")</f>
        <v>0.14776365429894</v>
      </c>
      <c r="K24" s="156" t="n">
        <f aca="false">IF(ISNUMBER(K23),Fleet_1GW!K13/(1-Fleet_1GW!K13)*K23,"SLO 不可達")</f>
        <v>0.251559290022202</v>
      </c>
      <c r="L24" s="156" t="n">
        <f aca="false">IF(ISNUMBER(L23),Fleet_1GW!L13/(1-Fleet_1GW!L13)*L23,"SLO 不可達")</f>
        <v>0.0808819890837787</v>
      </c>
      <c r="M24" s="156" t="n">
        <f aca="false">IF(ISNUMBER(M23),Fleet_1GW!M13/(1-Fleet_1GW!M13)*M23,"SLO 不可達")</f>
        <v>0.103947898919895</v>
      </c>
      <c r="N24" s="156" t="n">
        <f aca="false">IF(ISNUMBER(N23),Fleet_1GW!N13/(1-Fleet_1GW!N13)*N23,"SLO 不可達")</f>
        <v>0.167917438156943</v>
      </c>
      <c r="O24" s="156" t="n">
        <f aca="false">IF(ISNUMBER(O23),Fleet_1GW!O13/(1-Fleet_1GW!O13)*O23,"SLO 不可達")</f>
        <v>0.0621848378353225</v>
      </c>
      <c r="P24" s="156" t="n">
        <f aca="false">IF(ISNUMBER(P23),Fleet_1GW!P13/(1-Fleet_1GW!P13)*P23,"SLO 不可達")</f>
        <v>0.0945009310541822</v>
      </c>
      <c r="Q24" s="156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1771</v>
      </c>
      <c r="B25" s="59" t="s">
        <v>97</v>
      </c>
      <c r="C25" s="72" t="n">
        <f aca="false">IF(AND(ISNUMBER(C22),ISNUMBER(C24)),IF(C22&gt;0,C24/C22,0),"SLO 不可達")</f>
        <v>3.51177072067675</v>
      </c>
      <c r="D25" s="72" t="n">
        <f aca="false">IF(AND(ISNUMBER(D22),ISNUMBER(D24)),IF(D22&gt;0,D24/D22,0),"SLO 不可達")</f>
        <v>3.51173191319811</v>
      </c>
      <c r="E25" s="72" t="n">
        <f aca="false">IF(AND(ISNUMBER(E22),ISNUMBER(E24)),IF(E22&gt;0,E24/E22,0),"SLO 不可達")</f>
        <v>3.51169410906858</v>
      </c>
      <c r="F25" s="72" t="n">
        <f aca="false">IF(AND(ISNUMBER(F22),ISNUMBER(F24)),IF(F22&gt;0,F24/F22,0),"SLO 不可達")</f>
        <v>8.17095209684629</v>
      </c>
      <c r="G25" s="72" t="n">
        <f aca="false">IF(AND(ISNUMBER(G22),ISNUMBER(G24)),IF(G22&gt;0,G24/G22,0),"SLO 不可達")</f>
        <v>8.17060488780636</v>
      </c>
      <c r="H25" s="72" t="n">
        <f aca="false">IF(AND(ISNUMBER(H22),ISNUMBER(H24)),IF(H22&gt;0,H24/H22,0),"SLO 不可達")</f>
        <v>8.17020771589857</v>
      </c>
      <c r="I25" s="72" t="n">
        <f aca="false">IF(AND(ISNUMBER(I22),ISNUMBER(I24)),IF(I22&gt;0,I24/I22,0),"SLO 不可達")</f>
        <v>8.00071392580167</v>
      </c>
      <c r="J25" s="72" t="n">
        <f aca="false">IF(AND(ISNUMBER(J22),ISNUMBER(J24)),IF(J22&gt;0,J24/J22,0),"SLO 不可達")</f>
        <v>8.00036484830294</v>
      </c>
      <c r="K25" s="72" t="n">
        <f aca="false">IF(AND(ISNUMBER(K22),ISNUMBER(K24)),IF(K22&gt;0,K24/K22,0),"SLO 不可達")</f>
        <v>7.99987079478433</v>
      </c>
      <c r="L25" s="72" t="n">
        <f aca="false">IF(AND(ISNUMBER(L22),ISNUMBER(L24)),IF(L22&gt;0,L24/L22,0),"SLO 不可達")</f>
        <v>14.8085546758733</v>
      </c>
      <c r="M25" s="72" t="n">
        <f aca="false">IF(AND(ISNUMBER(M22),ISNUMBER(M24)),IF(M22&gt;0,M24/M22,0),"SLO 不可達")</f>
        <v>14.8076560828558</v>
      </c>
      <c r="N25" s="72" t="n">
        <f aca="false">IF(AND(ISNUMBER(N22),ISNUMBER(N24)),IF(N22&gt;0,N24/N22,0),"SLO 不可達")</f>
        <v>14.8064558648477</v>
      </c>
      <c r="O25" s="72" t="n">
        <f aca="false">IF(AND(ISNUMBER(O22),ISNUMBER(O24)),IF(O22&gt;0,O24/O22,0),"SLO 不可達")</f>
        <v>22.595834989863</v>
      </c>
      <c r="P25" s="72" t="n">
        <f aca="false">IF(AND(ISNUMBER(P22),ISNUMBER(P24)),IF(P22&gt;0,P24/P22,0),"SLO 不可達")</f>
        <v>22.5930865691923</v>
      </c>
      <c r="Q25" s="72" t="n">
        <f aca="false">IF(AND(ISNUMBER(Q22),ISNUMBER(Q24)),IF(Q22&gt;0,Q24/Q22,0),"SLO 不可達")</f>
        <v>22.5906957783297</v>
      </c>
    </row>
    <row r="26" customFormat="false" ht="29.85" hidden="false" customHeight="false" outlineLevel="0" collapsed="false">
      <c r="A26" s="5" t="s">
        <v>1774</v>
      </c>
      <c r="B26" s="59" t="s">
        <v>93</v>
      </c>
      <c r="C26" s="157" t="n">
        <f aca="false">IF(ISNUMBER(C22),C22/(INDEX(B4_EffRef,1,2)-INDEX(B4_EffRef,1,1)),"SLO 不可達")</f>
        <v>0.112009096956353</v>
      </c>
      <c r="D26" s="157" t="n">
        <f aca="false">IF(ISNUMBER(D22),D22/(INDEX(B4_EffRef,1,2)-INDEX(B4_EffRef,1,1)),"SLO 不可達")</f>
        <v>0.160038594787637</v>
      </c>
      <c r="E26" s="157" t="n">
        <f aca="false">IF(ISNUMBER(E22),E22/(INDEX(B4_EffRef,1,2)-INDEX(B4_EffRef,1,1)),"SLO 不可達")</f>
        <v>0.274845130566106</v>
      </c>
      <c r="F26" s="157" t="n">
        <f aca="false">IF(ISNUMBER(F22),F22/(INDEX(B4_EffRef,1,2)-INDEX(B4_EffRef,1,1)),"SLO 不可達")</f>
        <v>0.0104727833139315</v>
      </c>
      <c r="G26" s="157" t="n">
        <f aca="false">IF(ISNUMBER(G22),G22/(INDEX(B4_EffRef,1,2)-INDEX(B4_EffRef,1,1)),"SLO 不可達")</f>
        <v>0.0139833687400681</v>
      </c>
      <c r="H26" s="157" t="n">
        <f aca="false">IF(ISNUMBER(H22),H22/(INDEX(B4_EffRef,1,2)-INDEX(B4_EffRef,1,1)),"SLO 不可達")</f>
        <v>0.0226798999895402</v>
      </c>
      <c r="I26" s="157" t="n">
        <f aca="false">IF(ISNUMBER(I22),I22/(INDEX(B4_EffRef,1,2)-INDEX(B4_EffRef,1,1)),"SLO 不可達")</f>
        <v>0.0093664377392896</v>
      </c>
      <c r="J26" s="157" t="n">
        <f aca="false">IF(ISNUMBER(J22),J22/(INDEX(B4_EffRef,1,2)-INDEX(B4_EffRef,1,1)),"SLO 不可達")</f>
        <v>0.0120972963839717</v>
      </c>
      <c r="K26" s="157" t="n">
        <f aca="false">IF(ISNUMBER(K22),K22/(INDEX(B4_EffRef,1,2)-INDEX(B4_EffRef,1,1)),"SLO 不可達")</f>
        <v>0.020596236904049</v>
      </c>
      <c r="L26" s="157" t="n">
        <f aca="false">IF(ISNUMBER(L22),L22/(INDEX(B4_EffRef,1,2)-INDEX(B4_EffRef,1,1)),"SLO 不可達")</f>
        <v>0.00357741761340444</v>
      </c>
      <c r="M26" s="157" t="n">
        <f aca="false">IF(ISNUMBER(M22),M22/(INDEX(B4_EffRef,1,2)-INDEX(B4_EffRef,1,1)),"SLO 不可達")</f>
        <v>0.00459790387296921</v>
      </c>
      <c r="N26" s="157" t="n">
        <f aca="false">IF(ISNUMBER(N22),N22/(INDEX(B4_EffRef,1,2)-INDEX(B4_EffRef,1,1)),"SLO 不可達")</f>
        <v>0.00742805608833437</v>
      </c>
      <c r="O26" s="157" t="n">
        <f aca="false">IF(ISNUMBER(O22),O22/(INDEX(B4_EffRef,1,2)-INDEX(B4_EffRef,1,1)),"SLO 不可達")</f>
        <v>0.00180254702136894</v>
      </c>
      <c r="P26" s="157" t="n">
        <f aca="false">IF(ISNUMBER(P22),P22/(INDEX(B4_EffRef,1,2)-INDEX(B4_EffRef,1,1)),"SLO 不可達")</f>
        <v>0.00273962431445976</v>
      </c>
      <c r="Q26" s="157" t="n">
        <f aca="false">IF(ISNUMBER(Q22),Q22/(INDEX(B4_EffRef,1,2)-INDEX(B4_EffRef,1,1)),"SLO 不可達")</f>
        <v>0.00500129781361224</v>
      </c>
    </row>
    <row r="28" customFormat="false" ht="15" hidden="false" customHeight="false" outlineLevel="0" collapsed="false">
      <c r="A28" s="73" t="s">
        <v>251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1764</v>
      </c>
      <c r="B29" s="59" t="s">
        <v>865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1765</v>
      </c>
      <c r="B30" s="59" t="s">
        <v>787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29.85" hidden="false" customHeight="false" outlineLevel="0" collapsed="false">
      <c r="A31" s="5" t="s">
        <v>1766</v>
      </c>
      <c r="B31" s="59" t="s">
        <v>1767</v>
      </c>
      <c r="C31" s="60" t="n">
        <f aca="false">IF(ISNUMBER(Fleet_1GW!C27),Fleet_1GW!C27*INDEX(B4_Life,1,3)/12,"SLO 不可達")</f>
        <v>229793180.510631</v>
      </c>
      <c r="D31" s="60" t="n">
        <f aca="false">IF(ISNUMBER(Fleet_1GW!D27),Fleet_1GW!D27*INDEX(B4_Life,1,3)/12,"SLO 不可達")</f>
        <v>229793180.510631</v>
      </c>
      <c r="E31" s="60" t="n">
        <f aca="false">IF(ISNUMBER(Fleet_1GW!E27),Fleet_1GW!E27*INDEX(B4_Life,1,3)/12,"SLO 不可達")</f>
        <v>229793180.510631</v>
      </c>
      <c r="F31" s="60" t="n">
        <f aca="false">IF(ISNUMBER(Fleet_1GW!F27),Fleet_1GW!F27*INDEX(B4_Life,1,3)/12,"SLO 不可達")</f>
        <v>1157582792.29023</v>
      </c>
      <c r="G31" s="60" t="n">
        <f aca="false">IF(ISNUMBER(Fleet_1GW!G27),Fleet_1GW!G27*INDEX(B4_Life,1,3)/12,"SLO 不可達")</f>
        <v>1157582792.29023</v>
      </c>
      <c r="H31" s="60" t="n">
        <f aca="false">IF(ISNUMBER(Fleet_1GW!H27),Fleet_1GW!H27*INDEX(B4_Life,1,3)/12,"SLO 不可達")</f>
        <v>1157582792.29023</v>
      </c>
      <c r="I31" s="60" t="n">
        <f aca="false">IF(ISNUMBER(Fleet_1GW!I27),Fleet_1GW!I27*INDEX(B4_Life,1,3)/12,"SLO 不可達")</f>
        <v>1507051489.39156</v>
      </c>
      <c r="J31" s="60" t="n">
        <f aca="false">IF(ISNUMBER(Fleet_1GW!J27),Fleet_1GW!J27*INDEX(B4_Life,1,3)/12,"SLO 不可達")</f>
        <v>1507051489.39156</v>
      </c>
      <c r="K31" s="60" t="n">
        <f aca="false">IF(ISNUMBER(Fleet_1GW!K27),Fleet_1GW!K27*INDEX(B4_Life,1,3)/12,"SLO 不可達")</f>
        <v>1507051489.39156</v>
      </c>
      <c r="L31" s="60" t="n">
        <f aca="false">IF(ISNUMBER(Fleet_1GW!L27),Fleet_1GW!L27*INDEX(B4_Life,1,3)/12,"SLO 不可達")</f>
        <v>2795677467.0943</v>
      </c>
      <c r="M31" s="60" t="n">
        <f aca="false">IF(ISNUMBER(Fleet_1GW!M27),Fleet_1GW!M27*INDEX(B4_Life,1,3)/12,"SLO 不可達")</f>
        <v>2795677467.0943</v>
      </c>
      <c r="N31" s="60" t="n">
        <f aca="false">IF(ISNUMBER(Fleet_1GW!N27),Fleet_1GW!N27*INDEX(B4_Life,1,3)/12,"SLO 不可達")</f>
        <v>2795677467.0943</v>
      </c>
      <c r="O31" s="60" t="n">
        <f aca="false">IF(ISNUMBER(Fleet_1GW!O27),Fleet_1GW!O27*INDEX(B4_Life,1,3)/12,"SLO 不可達")</f>
        <v>3954941892.8538</v>
      </c>
      <c r="P31" s="60" t="n">
        <f aca="false">IF(ISNUMBER(Fleet_1GW!P27),Fleet_1GW!P27*INDEX(B4_Life,1,3)/12,"SLO 不可達")</f>
        <v>3954941892.8538</v>
      </c>
      <c r="Q31" s="60" t="n">
        <f aca="false">IF(ISNUMBER(Fleet_1GW!Q27),Fleet_1GW!Q27*INDEX(B4_Life,1,3)/12,"SLO 不可達")</f>
        <v>3954941892.8538</v>
      </c>
    </row>
    <row r="32" customFormat="false" ht="26.85" hidden="false" customHeight="false" outlineLevel="0" collapsed="false">
      <c r="A32" s="5" t="s">
        <v>1775</v>
      </c>
      <c r="B32" s="59" t="s">
        <v>795</v>
      </c>
      <c r="C32" s="154" t="n">
        <f aca="false">IF(AND(ISNUMBER(C31),ISNUMBER(C29)),IF(C31&gt;0,C29*1000000/C31,0),"SLO 不可達")</f>
        <v>4.21660204115075</v>
      </c>
      <c r="D32" s="154" t="n">
        <f aca="false">IF(AND(ISNUMBER(D31),ISNUMBER(D29)),IF(D31&gt;0,D29*1000000/D31,0),"SLO 不可達")</f>
        <v>6.02468088558382</v>
      </c>
      <c r="E32" s="154" t="n">
        <f aca="false">IF(AND(ISNUMBER(E31),ISNUMBER(E29)),IF(E31&gt;0,E29*1000000/E31,0),"SLO 不可達")</f>
        <v>10.3465930003613</v>
      </c>
      <c r="F32" s="154" t="n">
        <f aca="false">IF(AND(ISNUMBER(F31),ISNUMBER(F29)),IF(F31&gt;0,F29*1000000/F31,0),"SLO 不可達")</f>
        <v>0.402092994157101</v>
      </c>
      <c r="G32" s="154" t="n">
        <f aca="false">IF(AND(ISNUMBER(G31),ISNUMBER(G29)),IF(G31&gt;0,G29*1000000/G31,0),"SLO 不可達")</f>
        <v>0.536878729995042</v>
      </c>
      <c r="H32" s="154" t="n">
        <f aca="false">IF(AND(ISNUMBER(H31),ISNUMBER(H29)),IF(H31&gt;0,H29*1000000/H31,0),"SLO 不可達")</f>
        <v>0.870774140991408</v>
      </c>
      <c r="I32" s="154" t="n">
        <f aca="false">IF(AND(ISNUMBER(I31),ISNUMBER(I29)),IF(I31&gt;0,I29*1000000/I31,0),"SLO 不可達")</f>
        <v>0.366823042465288</v>
      </c>
      <c r="J32" s="154" t="n">
        <f aca="false">IF(AND(ISNUMBER(J31),ISNUMBER(J29)),IF(J31&gt;0,J29*1000000/J31,0),"SLO 不可達")</f>
        <v>0.473773187703846</v>
      </c>
      <c r="K32" s="154" t="n">
        <f aca="false">IF(AND(ISNUMBER(K31),ISNUMBER(K29)),IF(K31&gt;0,K29*1000000/K31,0),"SLO 不可達")</f>
        <v>0.806621951138076</v>
      </c>
      <c r="L32" s="154" t="n">
        <f aca="false">IF(AND(ISNUMBER(L31),ISNUMBER(L29)),IF(L31&gt;0,L29*1000000/L31,0),"SLO 不可達")</f>
        <v>0.136157625325142</v>
      </c>
      <c r="M32" s="154" t="n">
        <f aca="false">IF(AND(ISNUMBER(M31),ISNUMBER(M29)),IF(M31&gt;0,M29*1000000/M31,0),"SLO 不可達")</f>
        <v>0.174997649273883</v>
      </c>
      <c r="N32" s="154" t="n">
        <f aca="false">IF(AND(ISNUMBER(N31),ISNUMBER(N29)),IF(N31&gt;0,N29*1000000/N31,0),"SLO 不可達")</f>
        <v>0.282714121488067</v>
      </c>
      <c r="O32" s="154" t="n">
        <f aca="false">IF(AND(ISNUMBER(O31),ISNUMBER(O29)),IF(O31&gt;0,O29*1000000/O31,0),"SLO 不可達")</f>
        <v>0.0696087421755187</v>
      </c>
      <c r="P32" s="154" t="n">
        <f aca="false">IF(AND(ISNUMBER(P31),ISNUMBER(P29)),IF(P31&gt;0,P29*1000000/P31,0),"SLO 不可達")</f>
        <v>0.105795743635128</v>
      </c>
      <c r="Q32" s="154" t="n">
        <f aca="false">IF(AND(ISNUMBER(Q31),ISNUMBER(Q29)),IF(Q31&gt;0,Q29*1000000/Q31,0),"SLO 不可達")</f>
        <v>0.193134517948015</v>
      </c>
    </row>
    <row r="33" customFormat="false" ht="15" hidden="false" customHeight="false" outlineLevel="0" collapsed="false">
      <c r="A33" s="5" t="s">
        <v>1769</v>
      </c>
      <c r="B33" s="59" t="s">
        <v>795</v>
      </c>
      <c r="C33" s="155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5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5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5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5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5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5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5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5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5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5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5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5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5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5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1776</v>
      </c>
      <c r="B34" s="59" t="s">
        <v>795</v>
      </c>
      <c r="C34" s="156" t="n">
        <f aca="false">IF(ISNUMBER(C33),Fleet_1GW!C13/(1-Fleet_1GW!C13)*C33,"SLO 不可達")</f>
        <v>3.68000036091984</v>
      </c>
      <c r="D34" s="156" t="n">
        <f aca="false">IF(ISNUMBER(D33),Fleet_1GW!D13/(1-Fleet_1GW!D13)*D33,"SLO 不可達")</f>
        <v>5.25784666981243</v>
      </c>
      <c r="E34" s="156" t="n">
        <f aca="false">IF(ISNUMBER(E33),Fleet_1GW!E13/(1-Fleet_1GW!E13)*E33,"SLO 不可達")</f>
        <v>9.02942615521809</v>
      </c>
      <c r="F34" s="156" t="n">
        <f aca="false">IF(ISNUMBER(F33),Fleet_1GW!F13/(1-Fleet_1GW!F13)*F33,"SLO 不可達")</f>
        <v>0.719884900727599</v>
      </c>
      <c r="G34" s="156" t="n">
        <f aca="false">IF(ISNUMBER(G33),Fleet_1GW!G13/(1-Fleet_1GW!G13)*G33,"SLO 不可達")</f>
        <v>0.961090090684005</v>
      </c>
      <c r="H34" s="156" t="n">
        <f aca="false">IF(ISNUMBER(H33),Fleet_1GW!H13/(1-Fleet_1GW!H13)*H33,"SLO 不可達")</f>
        <v>1.55861107860059</v>
      </c>
      <c r="I34" s="156" t="n">
        <f aca="false">IF(ISNUMBER(I33),Fleet_1GW!I13/(1-Fleet_1GW!I13)*I33,"SLO 不可達")</f>
        <v>0.771872419196334</v>
      </c>
      <c r="J34" s="156" t="n">
        <f aca="false">IF(ISNUMBER(J33),Fleet_1GW!J13/(1-Fleet_1GW!J13)*J33,"SLO 不可達")</f>
        <v>0.996824237261942</v>
      </c>
      <c r="K34" s="156" t="n">
        <f aca="false">IF(ISNUMBER(K33),Fleet_1GW!K13/(1-Fleet_1GW!K13)*K33,"SLO 不可達")</f>
        <v>1.69691617550482</v>
      </c>
      <c r="L34" s="156" t="n">
        <f aca="false">IF(ISNUMBER(L33),Fleet_1GW!L13/(1-Fleet_1GW!L13)*L33,"SLO 不可達")</f>
        <v>0.396015125991253</v>
      </c>
      <c r="M34" s="156" t="n">
        <f aca="false">IF(ISNUMBER(M33),Fleet_1GW!M13/(1-Fleet_1GW!M13)*M33,"SLO 不可達")</f>
        <v>0.508889890366036</v>
      </c>
      <c r="N34" s="156" t="n">
        <f aca="false">IF(ISNUMBER(N33),Fleet_1GW!N13/(1-Fleet_1GW!N13)*N33,"SLO 不可達")</f>
        <v>0.821929641229864</v>
      </c>
      <c r="O34" s="156" t="n">
        <f aca="false">IF(ISNUMBER(O33),Fleet_1GW!O13/(1-Fleet_1GW!O13)*O33,"SLO 不可達")</f>
        <v>0.286637340360856</v>
      </c>
      <c r="P34" s="156" t="n">
        <f aca="false">IF(ISNUMBER(P33),Fleet_1GW!P13/(1-Fleet_1GW!P13)*P33,"SLO 不可達")</f>
        <v>0.435482452267704</v>
      </c>
      <c r="Q34" s="156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1771</v>
      </c>
      <c r="B35" s="59" t="s">
        <v>97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1774</v>
      </c>
      <c r="B36" s="59" t="s">
        <v>93</v>
      </c>
      <c r="C36" s="157" t="n">
        <f aca="false">IF(ISNUMBER(C32),C32/(INDEX(B4_EffRef,1,3)-INDEX(B4_EffRef,1,2)),"SLO 不可達")</f>
        <v>0.655928829686752</v>
      </c>
      <c r="D36" s="157" t="n">
        <f aca="false">IF(ISNUMBER(D32),D32/(INDEX(B4_EffRef,1,3)-INDEX(B4_EffRef,1,2)),"SLO 不可達")</f>
        <v>0.937191094618612</v>
      </c>
      <c r="E36" s="157" t="n">
        <f aca="false">IF(ISNUMBER(E32),E32/(INDEX(B4_EffRef,1,3)-INDEX(B4_EffRef,1,2)),"SLO 不可達")</f>
        <v>1.60950181490686</v>
      </c>
      <c r="F36" s="157" t="n">
        <f aca="false">IF(ISNUMBER(F32),F32/(INDEX(B4_EffRef,1,3)-INDEX(B4_EffRef,1,2)),"SLO 不可達")</f>
        <v>0.062549034627591</v>
      </c>
      <c r="G36" s="157" t="n">
        <f aca="false">IF(ISNUMBER(G32),G32/(INDEX(B4_EffRef,1,3)-INDEX(B4_EffRef,1,2)),"SLO 不可達")</f>
        <v>0.0835161188114522</v>
      </c>
      <c r="H36" s="157" t="n">
        <f aca="false">IF(ISNUMBER(H32),H32/(INDEX(B4_EffRef,1,3)-INDEX(B4_EffRef,1,2)),"SLO 不可達")</f>
        <v>0.135456430947917</v>
      </c>
      <c r="I36" s="157" t="n">
        <f aca="false">IF(ISNUMBER(I32),I32/(INDEX(B4_EffRef,1,3)-INDEX(B4_EffRef,1,2)),"SLO 不可達")</f>
        <v>0.0570624893215499</v>
      </c>
      <c r="J36" s="157" t="n">
        <f aca="false">IF(ISNUMBER(J32),J32/(INDEX(B4_EffRef,1,3)-INDEX(B4_EffRef,1,2)),"SLO 不可達")</f>
        <v>0.0736995072133334</v>
      </c>
      <c r="K36" s="157" t="n">
        <f aca="false">IF(ISNUMBER(K32),K32/(INDEX(B4_EffRef,1,3)-INDEX(B4_EffRef,1,2)),"SLO 不可達")</f>
        <v>0.125477004290699</v>
      </c>
      <c r="L36" s="157" t="n">
        <f aca="false">IF(ISNUMBER(L32),L32/(INDEX(B4_EffRef,1,3)-INDEX(B4_EffRef,1,2)),"SLO 不可達")</f>
        <v>0.0211804934306948</v>
      </c>
      <c r="M36" s="157" t="n">
        <f aca="false">IF(ISNUMBER(M32),M32/(INDEX(B4_EffRef,1,3)-INDEX(B4_EffRef,1,2)),"SLO 不可達")</f>
        <v>0.0272223942800219</v>
      </c>
      <c r="N36" s="157" t="n">
        <f aca="false">IF(ISNUMBER(N32),N32/(INDEX(B4_EffRef,1,3)-INDEX(B4_EffRef,1,2)),"SLO 不可達")</f>
        <v>0.0439786209449772</v>
      </c>
      <c r="O36" s="157" t="n">
        <f aca="false">IF(ISNUMBER(O32),O32/(INDEX(B4_EffRef,1,3)-INDEX(B4_EffRef,1,2)),"SLO 不可達")</f>
        <v>0.0108282404518057</v>
      </c>
      <c r="P36" s="157" t="n">
        <f aca="false">IF(ISNUMBER(P32),P32/(INDEX(B4_EffRef,1,3)-INDEX(B4_EffRef,1,2)),"SLO 不可達")</f>
        <v>0.0164574407618251</v>
      </c>
      <c r="Q36" s="157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1777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1778</v>
      </c>
      <c r="B39" s="59" t="s">
        <v>1779</v>
      </c>
      <c r="C39" s="72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3284.64549241055</v>
      </c>
      <c r="D39" s="72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4692.99811583114</v>
      </c>
      <c r="E39" s="72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8059.43110285531</v>
      </c>
      <c r="F39" s="72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3410.05313357571</v>
      </c>
      <c r="G39" s="72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4552.73737438593</v>
      </c>
      <c r="H39" s="72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7383.43026523558</v>
      </c>
      <c r="I39" s="72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4379.86108783115</v>
      </c>
      <c r="J39" s="72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5656.36616281199</v>
      </c>
      <c r="K39" s="72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9629.08760958671</v>
      </c>
      <c r="L39" s="72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4822.92080993268</v>
      </c>
      <c r="M39" s="72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6197.9097072082</v>
      </c>
      <c r="N39" s="72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10011.2171743626</v>
      </c>
      <c r="O39" s="72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5097.49382665096</v>
      </c>
      <c r="P39" s="72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7745.49746008591</v>
      </c>
      <c r="Q39" s="72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14136.5600624521</v>
      </c>
    </row>
    <row r="40" customFormat="false" ht="29.85" hidden="false" customHeight="false" outlineLevel="0" collapsed="false">
      <c r="A40" s="5" t="s">
        <v>1780</v>
      </c>
      <c r="B40" s="59" t="s">
        <v>1779</v>
      </c>
      <c r="C40" s="72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1504.34417468587</v>
      </c>
      <c r="D40" s="72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2149.40691725699</v>
      </c>
      <c r="E40" s="72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3691.32224384431</v>
      </c>
      <c r="F40" s="72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2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2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2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2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2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2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2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2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2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2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2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1781</v>
      </c>
      <c r="B41" s="59" t="s">
        <v>97</v>
      </c>
      <c r="C41" s="102" t="n">
        <f aca="false">IF(ISNUMBER(C39),IF(C40&gt;0,C39/C40,0),"SLO 不可達")</f>
        <v>2.18344016461288</v>
      </c>
      <c r="D41" s="102" t="n">
        <f aca="false">IF(ISNUMBER(D39),IF(D40&gt;0,D39/D40,0),"SLO 不可達")</f>
        <v>2.18339211535627</v>
      </c>
      <c r="E41" s="102" t="n">
        <f aca="false">IF(ISNUMBER(E39),IF(E40&gt;0,E39/E40,0),"SLO 不可達")</f>
        <v>2.18334530839059</v>
      </c>
      <c r="F41" s="102" t="n">
        <f aca="false">IF(ISNUMBER(F39),IF(F40&gt;0,F39/F40,0),"SLO 不可達")</f>
        <v>4.73834517249884</v>
      </c>
      <c r="G41" s="102" t="n">
        <f aca="false">IF(ISNUMBER(G39),IF(G40&gt;0,G39/G40,0),"SLO 不可達")</f>
        <v>4.73792798068713</v>
      </c>
      <c r="H41" s="102" t="n">
        <f aca="false">IF(ISNUMBER(H39),IF(H40&gt;0,H39/H40,0),"SLO 不可達")</f>
        <v>4.7374507555901</v>
      </c>
      <c r="I41" s="102" t="n">
        <f aca="false">IF(ISNUMBER(I39),IF(I40&gt;0,I39/I40,0),"SLO 不可達")</f>
        <v>5.144550210331</v>
      </c>
      <c r="J41" s="102" t="n">
        <f aca="false">IF(ISNUMBER(J39),IF(J40&gt;0,J39/J40,0),"SLO 不可達")</f>
        <v>5.14411559126848</v>
      </c>
      <c r="K41" s="102" t="n">
        <f aca="false">IF(ISNUMBER(K39),IF(K40&gt;0,K39/K40,0),"SLO 不可達")</f>
        <v>5.14350046976148</v>
      </c>
      <c r="L41" s="102" t="n">
        <f aca="false">IF(ISNUMBER(L39),IF(L40&gt;0,L39/L40,0),"SLO 不可達")</f>
        <v>8.18022201676555</v>
      </c>
      <c r="M41" s="102" t="n">
        <f aca="false">IF(ISNUMBER(M39),IF(M40&gt;0,M39/M40,0),"SLO 不可達")</f>
        <v>8.17918362593439</v>
      </c>
      <c r="N41" s="102" t="n">
        <f aca="false">IF(ISNUMBER(N39),IF(N40&gt;0,N39/N40,0),"SLO 不可達")</f>
        <v>8.17779668507163</v>
      </c>
      <c r="O41" s="102" t="n">
        <f aca="false">IF(ISNUMBER(O39),IF(O40&gt;0,O39/O40,0),"SLO 不可達")</f>
        <v>11.9926175046571</v>
      </c>
      <c r="P41" s="102" t="n">
        <f aca="false">IF(ISNUMBER(P39),IF(P40&gt;0,P39/P40,0),"SLO 不可達")</f>
        <v>11.9895305984863</v>
      </c>
      <c r="Q41" s="102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1782</v>
      </c>
      <c r="B42" s="59" t="s">
        <v>1779</v>
      </c>
      <c r="C42" s="96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4004.88774987164</v>
      </c>
      <c r="D42" s="96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4004.88774987164</v>
      </c>
      <c r="E42" s="96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4004.88774987164</v>
      </c>
      <c r="F42" s="96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20174.6158611128</v>
      </c>
      <c r="G42" s="96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20174.6158611128</v>
      </c>
      <c r="H42" s="96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20174.6158611128</v>
      </c>
      <c r="I42" s="96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26265.2356996766</v>
      </c>
      <c r="J42" s="96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26265.2356996766</v>
      </c>
      <c r="K42" s="96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26265.2356996766</v>
      </c>
      <c r="L42" s="96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48723.7019639935</v>
      </c>
      <c r="M42" s="96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48723.7019639935</v>
      </c>
      <c r="N42" s="96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48723.7019639935</v>
      </c>
      <c r="O42" s="96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68927.6257152094</v>
      </c>
      <c r="P42" s="96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68927.6257152094</v>
      </c>
      <c r="Q42" s="96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68927.6257152094</v>
      </c>
    </row>
    <row r="43" customFormat="false" ht="29.85" hidden="false" customHeight="false" outlineLevel="0" collapsed="false">
      <c r="A43" s="6" t="s">
        <v>1783</v>
      </c>
      <c r="B43" s="59" t="s">
        <v>795</v>
      </c>
      <c r="C43" s="154" t="n">
        <f aca="false">IF(AND(ISNUMBER(C13),ISNUMBER(C41)),C13*C41,"SLO 不可達")</f>
        <v>0.147588221788147</v>
      </c>
      <c r="D43" s="154" t="n">
        <f aca="false">IF(AND(ISNUMBER(D13),ISNUMBER(D41)),D13*D41,"SLO 不可達")</f>
        <v>0.210869406872378</v>
      </c>
      <c r="E43" s="154" t="n">
        <f aca="false">IF(AND(ISNUMBER(E13),ISNUMBER(E41)),E13*E41,"SLO 不可達")</f>
        <v>0.362132567378394</v>
      </c>
      <c r="F43" s="154" t="n">
        <f aca="false">IF(AND(ISNUMBER(F13),ISNUMBER(F41)),F13*F41,"SLO 不可達")</f>
        <v>0.0288129876646739</v>
      </c>
      <c r="G43" s="154" t="n">
        <f aca="false">IF(AND(ISNUMBER(G13),ISNUMBER(G41)),G13*G41,"SLO 不可達")</f>
        <v>0.0384680122773135</v>
      </c>
      <c r="H43" s="154" t="n">
        <f aca="false">IF(AND(ISNUMBER(H13),ISNUMBER(H41)),H13*H41,"SLO 不可達")</f>
        <v>0.0623857391137304</v>
      </c>
      <c r="I43" s="154" t="n">
        <f aca="false">IF(AND(ISNUMBER(I13),ISNUMBER(I41)),I13*I41,"SLO 不可達")</f>
        <v>0.0269396532202824</v>
      </c>
      <c r="J43" s="154" t="n">
        <f aca="false">IF(AND(ISNUMBER(J13),ISNUMBER(J41)),J13*J41,"SLO 不可達")</f>
        <v>0.0347911816967125</v>
      </c>
      <c r="K43" s="154" t="n">
        <f aca="false">IF(AND(ISNUMBER(K13),ISNUMBER(K41)),K13*K41,"SLO 不可達")</f>
        <v>0.0592266000743046</v>
      </c>
      <c r="L43" s="154" t="n">
        <f aca="false">IF(AND(ISNUMBER(L13),ISNUMBER(L41)),L13*L41,"SLO 不可達")</f>
        <v>0.0172553760286319</v>
      </c>
      <c r="M43" s="154" t="n">
        <f aca="false">IF(AND(ISNUMBER(M13),ISNUMBER(M41)),M13*M41,"SLO 不可達")</f>
        <v>0.0221747913358084</v>
      </c>
      <c r="N43" s="154" t="n">
        <f aca="false">IF(AND(ISNUMBER(N13),ISNUMBER(N41)),N13*N41,"SLO 不可達")</f>
        <v>0.0358179874096534</v>
      </c>
      <c r="O43" s="154" t="n">
        <f aca="false">IF(AND(ISNUMBER(O13),ISNUMBER(O41)),O13*O41,"SLO 不可達")</f>
        <v>0.0123245031760871</v>
      </c>
      <c r="P43" s="154" t="n">
        <f aca="false">IF(AND(ISNUMBER(P13),ISNUMBER(P41)),P13*P41,"SLO 不可達")</f>
        <v>0.0187267334289093</v>
      </c>
      <c r="Q43" s="154" t="n">
        <f aca="false">IF(AND(ISNUMBER(Q13),ISNUMBER(Q41)),Q13*Q41,"SLO 不可達")</f>
        <v>0.0341787720227811</v>
      </c>
    </row>
    <row r="44" customFormat="false" ht="26.85" hidden="false" customHeight="false" outlineLevel="0" collapsed="false">
      <c r="A44" s="6" t="s">
        <v>1784</v>
      </c>
      <c r="B44" s="59" t="s">
        <v>795</v>
      </c>
      <c r="C44" s="158" t="n">
        <f aca="false">IF(AND(ISNUMBER(C42),ISNUMBER(C11)),IF(AND(C42&gt;0,C11&gt;0),C39*(Fleet_1GW!C21*INDEX(B4_EffRef,1,1)/1000000/C42)*1000000/C11,0),"SLO 不可達")</f>
        <v>0.00782926184897554</v>
      </c>
      <c r="D44" s="158" t="n">
        <f aca="false">IF(AND(ISNUMBER(D42),ISNUMBER(D11)),IF(AND(D42&gt;0,D11&gt;0),D39*(Fleet_1GW!D21*INDEX(B4_EffRef,1,1)/1000000/D42)*1000000/D11,0),"SLO 不可達")</f>
        <v>0.0111862029526438</v>
      </c>
      <c r="E44" s="158" t="n">
        <f aca="false">IF(AND(ISNUMBER(E42),ISNUMBER(E11)),IF(AND(E42&gt;0,E11&gt;0),E39*(Fleet_1GW!E21*INDEX(B4_EffRef,1,1)/1000000/E42)*1000000/E11,0),"SLO 不可達")</f>
        <v>0.0192104129970277</v>
      </c>
      <c r="F44" s="158" t="n">
        <f aca="false">IF(AND(ISNUMBER(F42),ISNUMBER(F11)),IF(AND(F42&gt;0,F11&gt;0),F39*(Fleet_1GW!F21*INDEX(B4_EffRef,1,1)/1000000/F42)*1000000/F11,0),"SLO 不可達")</f>
        <v>0.00165965019412098</v>
      </c>
      <c r="G44" s="158" t="n">
        <f aca="false">IF(AND(ISNUMBER(G42),ISNUMBER(G11)),IF(AND(G42&gt;0,G11&gt;0),G39*(Fleet_1GW!G21*INDEX(B4_EffRef,1,1)/1000000/G42)*1000000/G11,0),"SLO 不可達")</f>
        <v>0.00221578701891322</v>
      </c>
      <c r="H44" s="158" t="n">
        <f aca="false">IF(AND(ISNUMBER(H42),ISNUMBER(H11)),IF(AND(H42&gt;0,H11&gt;0),H39*(Fleet_1GW!H21*INDEX(B4_EffRef,1,1)/1000000/H42)*1000000/H11,0),"SLO 不可達")</f>
        <v>0.00359346643379944</v>
      </c>
      <c r="I44" s="158" t="n">
        <f aca="false">IF(AND(ISNUMBER(I42),ISNUMBER(I11)),IF(AND(I42&gt;0,I11&gt;0),I39*(Fleet_1GW!I21*INDEX(B4_EffRef,1,1)/1000000/I42)*1000000/I11,0),"SLO 不可達")</f>
        <v>0.00148333975179878</v>
      </c>
      <c r="J44" s="158" t="n">
        <f aca="false">IF(AND(ISNUMBER(J42),ISNUMBER(J11)),IF(AND(J42&gt;0,J11&gt;0),J39*(Fleet_1GW!J21*INDEX(B4_EffRef,1,1)/1000000/J42)*1000000/J11,0),"SLO 不可達")</f>
        <v>0.00191565728039637</v>
      </c>
      <c r="K44" s="158" t="n">
        <f aca="false">IF(AND(ISNUMBER(K42),ISNUMBER(K11)),IF(AND(K42&gt;0,K11&gt;0),K39*(Fleet_1GW!K21*INDEX(B4_EffRef,1,1)/1000000/K42)*1000000/K11,0),"SLO 不可達")</f>
        <v>0.00326110991614254</v>
      </c>
      <c r="L44" s="158" t="n">
        <f aca="false">IF(AND(ISNUMBER(L42),ISNUMBER(L11)),IF(AND(L42&gt;0,L11&gt;0),L39*(Fleet_1GW!L21*INDEX(B4_EffRef,1,1)/1000000/L42)*1000000/L11,0),"SLO 不可達")</f>
        <v>0.00106624342241572</v>
      </c>
      <c r="M44" s="158" t="n">
        <f aca="false">IF(AND(ISNUMBER(M42),ISNUMBER(M11)),IF(AND(M42&gt;0,M11&gt;0),M39*(Fleet_1GW!M21*INDEX(B4_EffRef,1,1)/1000000/M42)*1000000/M11,0),"SLO 不可達")</f>
        <v>0.00137022371265712</v>
      </c>
      <c r="N44" s="158" t="n">
        <f aca="false">IF(AND(ISNUMBER(N42),ISNUMBER(N11)),IF(AND(N42&gt;0,N11&gt;0),N39*(Fleet_1GW!N21*INDEX(B4_EffRef,1,1)/1000000/N42)*1000000/N11,0),"SLO 不可達")</f>
        <v>0.00221326347315422</v>
      </c>
      <c r="O44" s="158" t="n">
        <f aca="false">IF(AND(ISNUMBER(O42),ISNUMBER(O11)),IF(AND(O42&gt;0,O11&gt;0),O39*(Fleet_1GW!O21*INDEX(B4_EffRef,1,1)/1000000/O42)*1000000/O11,0),"SLO 不可達")</f>
        <v>0.000825482567485671</v>
      </c>
      <c r="P44" s="158" t="n">
        <f aca="false">IF(AND(ISNUMBER(P42),ISNUMBER(P11)),IF(AND(P42&gt;0,P11&gt;0),P39*(Fleet_1GW!P21*INDEX(B4_EffRef,1,1)/1000000/P42)*1000000/P11,0),"SLO 不可達")</f>
        <v>0.00125429737577655</v>
      </c>
      <c r="Q44" s="158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1785</v>
      </c>
      <c r="B45" s="59" t="s">
        <v>795</v>
      </c>
      <c r="C45" s="154" t="n">
        <f aca="false">IF(AND(ISNUMBER(C22),ISNUMBER(C41)),C22*C41,"SLO 不可達")</f>
        <v>0.37339121839945</v>
      </c>
      <c r="D45" s="154" t="n">
        <f aca="false">IF(AND(ISNUMBER(D22),ISNUMBER(D41)),D22*D41,"SLO 不可達")</f>
        <v>0.533489622690001</v>
      </c>
      <c r="E45" s="154" t="n">
        <f aca="false">IF(AND(ISNUMBER(E22),ISNUMBER(E41)),E22*E41,"SLO 不可達")</f>
        <v>0.916178262176196</v>
      </c>
      <c r="F45" s="154" t="n">
        <f aca="false">IF(AND(ISNUMBER(F22),ISNUMBER(F41)),F22*F41,"SLO 不可達")</f>
        <v>0.0757632020397096</v>
      </c>
      <c r="G45" s="154" t="n">
        <f aca="false">IF(AND(ISNUMBER(G22),ISNUMBER(G41)),G22*G41,"SLO 不可達")</f>
        <v>0.101150905284473</v>
      </c>
      <c r="H45" s="154" t="n">
        <f aca="false">IF(AND(ISNUMBER(H22),ISNUMBER(H41)),H22*H41,"SLO 不可達")</f>
        <v>0.164042112254299</v>
      </c>
      <c r="I45" s="154" t="n">
        <f aca="false">IF(AND(ISNUMBER(I22),ISNUMBER(I41)),I22*I41,"SLO 不可達")</f>
        <v>0.0735684099853945</v>
      </c>
      <c r="J45" s="154" t="n">
        <f aca="false">IF(AND(ISNUMBER(J22),ISNUMBER(J41)),J22*J41,"SLO 不可達")</f>
        <v>0.0950098317157649</v>
      </c>
      <c r="K45" s="154" t="n">
        <f aca="false">IF(AND(ISNUMBER(K22),ISNUMBER(K41)),K22*K41,"SLO 不可達")</f>
        <v>0.161739527999082</v>
      </c>
      <c r="L45" s="154" t="n">
        <f aca="false">IF(AND(ISNUMBER(L22),ISNUMBER(L41)),L22*L41,"SLO 不可達")</f>
        <v>0.0446790819458483</v>
      </c>
      <c r="M45" s="154" t="n">
        <f aca="false">IF(AND(ISNUMBER(M22),ISNUMBER(M41)),M22*M41,"SLO 不可達")</f>
        <v>0.0574168489623591</v>
      </c>
      <c r="N45" s="154" t="n">
        <f aca="false">IF(AND(ISNUMBER(N22),ISNUMBER(N41)),N22*N41,"SLO 不可達")</f>
        <v>0.0927429684497086</v>
      </c>
      <c r="O45" s="154" t="n">
        <f aca="false">IF(AND(ISNUMBER(O22),ISNUMBER(O41)),O22*O41,"SLO 不可達")</f>
        <v>0.0330042671617454</v>
      </c>
      <c r="P45" s="154" t="n">
        <f aca="false">IF(AND(ISNUMBER(P22),ISNUMBER(P41)),P22*P41,"SLO 不可達")</f>
        <v>0.0501490489575044</v>
      </c>
      <c r="Q45" s="154" t="n">
        <f aca="false">IF(AND(ISNUMBER(Q22),ISNUMBER(Q41)),Q22*Q41,"SLO 不可達")</f>
        <v>0.0915286650490684</v>
      </c>
    </row>
    <row r="46" customFormat="false" ht="26.85" hidden="false" customHeight="false" outlineLevel="0" collapsed="false">
      <c r="A46" s="6" t="s">
        <v>1786</v>
      </c>
      <c r="B46" s="59" t="s">
        <v>795</v>
      </c>
      <c r="C46" s="158" t="n">
        <f aca="false">IF(AND(ISNUMBER(C42),ISNUMBER(C20)),IF(AND(C42&gt;0,C20&gt;0),C39*(Fleet_1GW!C24*INDEX(B4_EffRef,1,2)/1000000/C42)*1000000/C20,0),"SLO 不可達")</f>
        <v>0.76075138172424</v>
      </c>
      <c r="D46" s="158" t="n">
        <f aca="false">IF(AND(ISNUMBER(D42),ISNUMBER(D20)),IF(AND(D42&gt;0,D20&gt;0),D39*(Fleet_1GW!D24*INDEX(B4_EffRef,1,2)/1000000/D42)*1000000/D20,0),"SLO 不可達")</f>
        <v>1.08693763430393</v>
      </c>
      <c r="E46" s="158" t="n">
        <f aca="false">IF(AND(ISNUMBER(E42),ISNUMBER(E20)),IF(AND(E42&gt;0,E20&gt;0),E39*(Fleet_1GW!E24*INDEX(B4_EffRef,1,2)/1000000/E42)*1000000/E20,0),"SLO 不可達")</f>
        <v>1.86663168417268</v>
      </c>
      <c r="F46" s="158" t="n">
        <f aca="false">IF(AND(ISNUMBER(F42),ISNUMBER(F20)),IF(AND(F42&gt;0,F20&gt;0),F39*(Fleet_1GW!F24*INDEX(B4_EffRef,1,2)/1000000/F42)*1000000/F20,0),"SLO 不可達")</f>
        <v>0.158902140573672</v>
      </c>
      <c r="G46" s="158" t="n">
        <f aca="false">IF(AND(ISNUMBER(G42),ISNUMBER(G20)),IF(AND(G42&gt;0,G20&gt;0),G39*(Fleet_1GW!G24*INDEX(B4_EffRef,1,2)/1000000/G42)*1000000/G20,0),"SLO 不可達")</f>
        <v>0.21214910323145</v>
      </c>
      <c r="H46" s="158" t="n">
        <f aca="false">IF(AND(ISNUMBER(H42),ISNUMBER(H20)),IF(AND(H42&gt;0,H20&gt;0),H39*(Fleet_1GW!H24*INDEX(B4_EffRef,1,2)/1000000/H42)*1000000/H20,0),"SLO 不可達")</f>
        <v>0.344054132872743</v>
      </c>
      <c r="I46" s="158" t="n">
        <f aca="false">IF(AND(ISNUMBER(I42),ISNUMBER(I20)),IF(AND(I42&gt;0,I20&gt;0),I39*(Fleet_1GW!I24*INDEX(B4_EffRef,1,2)/1000000/I42)*1000000/I20,0),"SLO 不可達")</f>
        <v>0.149431056183798</v>
      </c>
      <c r="J46" s="158" t="n">
        <f aca="false">IF(AND(ISNUMBER(J42),ISNUMBER(J20)),IF(AND(J42&gt;0,J20&gt;0),J39*(Fleet_1GW!J24*INDEX(B4_EffRef,1,2)/1000000/J42)*1000000/J20,0),"SLO 不可達")</f>
        <v>0.192982551939757</v>
      </c>
      <c r="K46" s="158" t="n">
        <f aca="false">IF(AND(ISNUMBER(K42),ISNUMBER(K20)),IF(AND(K42&gt;0,K20&gt;0),K39*(Fleet_1GW!K24*INDEX(B4_EffRef,1,2)/1000000/K42)*1000000/K20,0),"SLO 不可達")</f>
        <v>0.328522914935502</v>
      </c>
      <c r="L46" s="158" t="n">
        <f aca="false">IF(AND(ISNUMBER(L42),ISNUMBER(L20)),IF(AND(L42&gt;0,L20&gt;0),L39*(Fleet_1GW!L24*INDEX(B4_EffRef,1,2)/1000000/L42)*1000000/L20,0),"SLO 不可達")</f>
        <v>0.0971179608385562</v>
      </c>
      <c r="M46" s="158" t="n">
        <f aca="false">IF(AND(ISNUMBER(M42),ISNUMBER(M20)),IF(AND(M42&gt;0,M20&gt;0),M39*(Fleet_1GW!M24*INDEX(B4_EffRef,1,2)/1000000/M42)*1000000/M20,0),"SLO 不可達")</f>
        <v>0.124805771429192</v>
      </c>
      <c r="N46" s="158" t="n">
        <f aca="false">IF(AND(ISNUMBER(N42),ISNUMBER(N20)),IF(AND(N42&gt;0,N20&gt;0),N39*(Fleet_1GW!N24*INDEX(B4_EffRef,1,2)/1000000/N42)*1000000/N20,0),"SLO 不可達")</f>
        <v>0.201593398648318</v>
      </c>
      <c r="O46" s="158" t="n">
        <f aca="false">IF(AND(ISNUMBER(O42),ISNUMBER(O20)),IF(AND(O42&gt;0,O20&gt;0),O39*(Fleet_1GW!O24*INDEX(B4_EffRef,1,2)/1000000/O42)*1000000/O20,0),"SLO 不可達")</f>
        <v>0.0737187706076097</v>
      </c>
      <c r="P46" s="158" t="n">
        <f aca="false">IF(AND(ISNUMBER(P42),ISNUMBER(P20)),IF(AND(P42&gt;0,P20&gt;0),P39*(Fleet_1GW!P24*INDEX(B4_EffRef,1,2)/1000000/P42)*1000000/P20,0),"SLO 不可達")</f>
        <v>0.1120135835215</v>
      </c>
      <c r="Q46" s="158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1787</v>
      </c>
      <c r="B47" s="59" t="s">
        <v>795</v>
      </c>
      <c r="C47" s="154" t="n">
        <f aca="false">IF(AND(ISNUMBER(C32),ISNUMBER(C41)),C32*C41,"SLO 不可達")</f>
        <v>9.20669825483718</v>
      </c>
      <c r="D47" s="154" t="n">
        <f aca="false">IF(AND(ISNUMBER(D32),ISNUMBER(D41)),D32*D41,"SLO 不可達")</f>
        <v>13.1542407431214</v>
      </c>
      <c r="E47" s="154" t="n">
        <f aca="false">IF(AND(ISNUMBER(E32),ISNUMBER(E41)),E32*E41,"SLO 不可達")</f>
        <v>22.5901852851657</v>
      </c>
      <c r="F47" s="154" t="n">
        <f aca="false">IF(AND(ISNUMBER(F32),ISNUMBER(F41)),F32*F41,"SLO 不可達")</f>
        <v>1.9052553977599</v>
      </c>
      <c r="G47" s="154" t="n">
        <f aca="false">IF(AND(ISNUMBER(G32),ISNUMBER(G41)),G32*G41,"SLO 不可達")</f>
        <v>2.54369275707928</v>
      </c>
      <c r="H47" s="154" t="n">
        <f aca="false">IF(AND(ISNUMBER(H32),ISNUMBER(H41)),H32*H41,"SLO 不可達")</f>
        <v>4.12524961218807</v>
      </c>
      <c r="I47" s="154" t="n">
        <f aca="false">IF(AND(ISNUMBER(I32),ISNUMBER(I41)),I32*I41,"SLO 不可達")</f>
        <v>1.88713956026905</v>
      </c>
      <c r="J47" s="154" t="n">
        <f aca="false">IF(AND(ISNUMBER(J32),ISNUMBER(J41)),J32*J41,"SLO 不可達")</f>
        <v>2.43714404159232</v>
      </c>
      <c r="K47" s="154" t="n">
        <f aca="false">IF(AND(ISNUMBER(K32),ISNUMBER(K41)),K32*K41,"SLO 不可達")</f>
        <v>4.14886038459861</v>
      </c>
      <c r="L47" s="154" t="n">
        <f aca="false">IF(AND(ISNUMBER(L32),ISNUMBER(L41)),L32*L41,"SLO 不可達")</f>
        <v>1.11379960443524</v>
      </c>
      <c r="M47" s="154" t="n">
        <f aca="false">IF(AND(ISNUMBER(M32),ISNUMBER(M41)),M32*M41,"SLO 不可達")</f>
        <v>1.43133790751795</v>
      </c>
      <c r="N47" s="154" t="n">
        <f aca="false">IF(AND(ISNUMBER(N32),ISNUMBER(N41)),N32*N41,"SLO 不可達")</f>
        <v>2.31197860552805</v>
      </c>
      <c r="O47" s="154" t="n">
        <f aca="false">IF(AND(ISNUMBER(O32),ISNUMBER(O41)),O32*O41,"SLO 不可達")</f>
        <v>0.834791019891287</v>
      </c>
      <c r="P47" s="154" t="n">
        <f aca="false">IF(AND(ISNUMBER(P32),ISNUMBER(P41)),P32*P41,"SLO 不可達")</f>
        <v>1.26844130550297</v>
      </c>
      <c r="Q47" s="154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1788</v>
      </c>
      <c r="B48" s="59" t="s">
        <v>795</v>
      </c>
      <c r="C48" s="158" t="n">
        <f aca="false">IF(AND(ISNUMBER(C42),ISNUMBER(C30)),IF(AND(C42&gt;0,C30&gt;0),C39*(Fleet_1GW!C27*INDEX(B4_EffRef,1,3)/1000000/C42)*1000000/C30,0),"SLO 不可達")</f>
        <v>6.59043473451061</v>
      </c>
      <c r="D48" s="158" t="n">
        <f aca="false">IF(AND(ISNUMBER(D42),ISNUMBER(D30)),IF(AND(D42&gt;0,D30&gt;0),D39*(Fleet_1GW!D27*INDEX(B4_EffRef,1,3)/1000000/D42)*1000000/D30,0),"SLO 不可達")</f>
        <v>9.41620575585105</v>
      </c>
      <c r="E48" s="158" t="n">
        <f aca="false">IF(AND(ISNUMBER(E42),ISNUMBER(E30)),IF(AND(E42&gt;0,E30&gt;0),E39*(Fleet_1GW!E27*INDEX(B4_EffRef,1,3)/1000000/E42)*1000000/E30,0),"SLO 不可達")</f>
        <v>16.1707419578094</v>
      </c>
      <c r="F48" s="158" t="n">
        <f aca="false">IF(AND(ISNUMBER(F42),ISNUMBER(F30)),IF(AND(F42&gt;0,F30&gt;0),F39*(Fleet_1GW!F27*INDEX(B4_EffRef,1,3)/1000000/F42)*1000000/F30,0),"SLO 不可達")</f>
        <v>1.35822518708084</v>
      </c>
      <c r="G48" s="158" t="n">
        <f aca="false">IF(AND(ISNUMBER(G42),ISNUMBER(G30)),IF(AND(G42&gt;0,G30&gt;0),G39*(Fleet_1GW!G27*INDEX(B4_EffRef,1,3)/1000000/G42)*1000000/G30,0),"SLO 不可達")</f>
        <v>1.81335666332307</v>
      </c>
      <c r="H48" s="158" t="n">
        <f aca="false">IF(AND(ISNUMBER(H42),ISNUMBER(H30)),IF(AND(H42&gt;0,H30&gt;0),H39*(Fleet_1GW!H27*INDEX(B4_EffRef,1,3)/1000000/H42)*1000000/H30,0),"SLO 不可達")</f>
        <v>2.94082249175466</v>
      </c>
      <c r="I48" s="158" t="n">
        <f aca="false">IF(AND(ISNUMBER(I42),ISNUMBER(I30)),IF(AND(I42&gt;0,I30&gt;0),I39*(Fleet_1GW!I27*INDEX(B4_EffRef,1,3)/1000000/I42)*1000000/I30,0),"SLO 不可達")</f>
        <v>1.33996958943401</v>
      </c>
      <c r="J48" s="158" t="n">
        <f aca="false">IF(AND(ISNUMBER(J42),ISNUMBER(J30)),IF(AND(J42&gt;0,J30&gt;0),J39*(Fleet_1GW!J27*INDEX(B4_EffRef,1,3)/1000000/J42)*1000000/J30,0),"SLO 不可達")</f>
        <v>1.73050206225257</v>
      </c>
      <c r="K48" s="158" t="n">
        <f aca="false">IF(AND(ISNUMBER(K42),ISNUMBER(K30)),IF(AND(K42&gt;0,K30&gt;0),K39*(Fleet_1GW!K27*INDEX(B4_EffRef,1,3)/1000000/K42)*1000000/K30,0),"SLO 不可達")</f>
        <v>2.94591182507828</v>
      </c>
      <c r="L48" s="158" t="n">
        <f aca="false">IF(AND(ISNUMBER(L42),ISNUMBER(L30)),IF(AND(L42&gt;0,L30&gt;0),L39*(Fleet_1GW!L27*INDEX(B4_EffRef,1,3)/1000000/L42)*1000000/L30,0),"SLO 不可達")</f>
        <v>0.795400319476929</v>
      </c>
      <c r="M48" s="158" t="n">
        <f aca="false">IF(AND(ISNUMBER(M42),ISNUMBER(M30)),IF(AND(M42&gt;0,M30&gt;0),M39*(Fleet_1GW!M27*INDEX(B4_EffRef,1,3)/1000000/M42)*1000000/M30,0),"SLO 不可達")</f>
        <v>1.02216469137327</v>
      </c>
      <c r="N48" s="158" t="n">
        <f aca="false">IF(AND(ISNUMBER(N42),ISNUMBER(N30)),IF(AND(N42&gt;0,N30&gt;0),N39*(Fleet_1GW!N27*INDEX(B4_EffRef,1,3)/1000000/N42)*1000000/N30,0),"SLO 不可達")</f>
        <v>1.65105869506327</v>
      </c>
      <c r="O48" s="158" t="n">
        <f aca="false">IF(AND(ISNUMBER(O42),ISNUMBER(O30)),IF(AND(O42&gt;0,O30&gt;0),O39*(Fleet_1GW!O27*INDEX(B4_EffRef,1,3)/1000000/O42)*1000000/O30,0),"SLO 不可達")</f>
        <v>0.594263829823415</v>
      </c>
      <c r="P48" s="158" t="n">
        <f aca="false">IF(AND(ISNUMBER(P42),ISNUMBER(P30)),IF(AND(P42&gt;0,P30&gt;0),P39*(Fleet_1GW!P27*INDEX(B4_EffRef,1,3)/1000000/P42)*1000000/P30,0),"SLO 不可達")</f>
        <v>0.902967054212651</v>
      </c>
      <c r="Q48" s="158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1789</v>
      </c>
      <c r="B49" s="59" t="s">
        <v>93</v>
      </c>
      <c r="C49" s="101" t="n">
        <f aca="false">IF(ISNUMBER(C42),IF(C42&gt;0,C39/C42,0),"SLO 不可達")</f>
        <v>0.820159189858898</v>
      </c>
      <c r="D49" s="101" t="n">
        <f aca="false">IF(ISNUMBER(D42),IF(D42&gt;0,D39/D42,0),"SLO 不可達")</f>
        <v>1.1718176410766</v>
      </c>
      <c r="E49" s="101" t="n">
        <f aca="false">IF(ISNUMBER(E42),IF(E42&gt;0,E39/E42,0),"SLO 不可達")</f>
        <v>2.01239875028049</v>
      </c>
      <c r="F49" s="101" t="n">
        <f aca="false">IF(ISNUMBER(F42),IF(F42&gt;0,F39/F42,0),"SLO 不可達")</f>
        <v>0.169026917640038</v>
      </c>
      <c r="G49" s="101" t="n">
        <f aca="false">IF(ISNUMBER(G42),IF(G42&gt;0,G39/G42,0),"SLO 不可達")</f>
        <v>0.225666620159122</v>
      </c>
      <c r="H49" s="101" t="n">
        <f aca="false">IF(ISNUMBER(H42),IF(H42&gt;0,H39/H42,0),"SLO 不可達")</f>
        <v>0.365976250356636</v>
      </c>
      <c r="I49" s="101" t="n">
        <f aca="false">IF(ISNUMBER(I42),IF(I42&gt;0,I39/I42,0),"SLO 不可達")</f>
        <v>0.166755065056777</v>
      </c>
      <c r="J49" s="101" t="n">
        <f aca="false">IF(ISNUMBER(J42),IF(J42&gt;0,J39/J42,0),"SLO 不可達")</f>
        <v>0.215355621685193</v>
      </c>
      <c r="K49" s="101" t="n">
        <f aca="false">IF(ISNUMBER(K42),IF(K42&gt;0,K39/K42,0),"SLO 不可達")</f>
        <v>0.366609602125339</v>
      </c>
      <c r="L49" s="101" t="n">
        <f aca="false">IF(ISNUMBER(L42),IF(L42&gt;0,L39/L42,0),"SLO 不可達")</f>
        <v>0.0989851061295957</v>
      </c>
      <c r="M49" s="101" t="n">
        <f aca="false">IF(ISNUMBER(M42),IF(M42&gt;0,M39/M42,0),"SLO 不可達")</f>
        <v>0.127205229844572</v>
      </c>
      <c r="N49" s="101" t="n">
        <f aca="false">IF(ISNUMBER(N42),IF(N42&gt;0,N39/N42,0),"SLO 不可達")</f>
        <v>0.205469140702011</v>
      </c>
      <c r="O49" s="101" t="n">
        <f aca="false">IF(ISNUMBER(O42),IF(O42&gt;0,O39/O42,0),"SLO 不可達")</f>
        <v>0.0739542929813432</v>
      </c>
      <c r="P49" s="101" t="n">
        <f aca="false">IF(ISNUMBER(P42),IF(P42&gt;0,P39/P42,0),"SLO 不可達")</f>
        <v>0.112371453096154</v>
      </c>
      <c r="Q49" s="101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1791</v>
      </c>
    </row>
    <row r="2" customFormat="false" ht="15" hidden="false" customHeight="false" outlineLevel="0" collapsed="false">
      <c r="A2" s="56" t="s">
        <v>1792</v>
      </c>
    </row>
    <row r="4" customFormat="false" ht="15" hidden="false" customHeight="false" outlineLevel="0" collapsed="false">
      <c r="A4" s="57" t="s">
        <v>165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440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1708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1793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1794</v>
      </c>
      <c r="B10" s="59" t="s">
        <v>787</v>
      </c>
      <c r="C10" s="65" t="n">
        <f aca="false">IF(ISNUMBER(INDEX(IF_TokGW_Luna,1,C$7)),INDEX(IF_TokGW_Luna,1,C$7)*IF_Util,INDEX(IF_TokGW_Luna,1,C$7))</f>
        <v>44440350782.9534</v>
      </c>
      <c r="D10" s="65" t="n">
        <f aca="false">IF(ISNUMBER(INDEX(IF_TokGW_Luna,1,D$7)),INDEX(IF_TokGW_Luna,1,D$7)*IF_Util,INDEX(IF_TokGW_Luna,1,D$7))</f>
        <v>44440350782.9534</v>
      </c>
      <c r="E10" s="65" t="n">
        <f aca="false">IF(ISNUMBER(INDEX(IF_TokGW_Luna,1,E$7)),INDEX(IF_TokGW_Luna,1,E$7)*IF_Util,INDEX(IF_TokGW_Luna,1,E$7))</f>
        <v>44440350782.9534</v>
      </c>
      <c r="F10" s="65" t="n">
        <f aca="false">IF(ISNUMBER(INDEX(IF_TokGW_Luna,1,F$7)),INDEX(IF_TokGW_Luna,1,F$7)*IF_Util,INDEX(IF_TokGW_Luna,1,F$7))</f>
        <v>217384136451.368</v>
      </c>
      <c r="G10" s="65" t="n">
        <f aca="false">IF(ISNUMBER(INDEX(IF_TokGW_Luna,1,G$7)),INDEX(IF_TokGW_Luna,1,G$7)*IF_Util,INDEX(IF_TokGW_Luna,1,G$7))</f>
        <v>217384136451.368</v>
      </c>
      <c r="H10" s="65" t="n">
        <f aca="false">IF(ISNUMBER(INDEX(IF_TokGW_Luna,1,H$7)),INDEX(IF_TokGW_Luna,1,H$7)*IF_Util,INDEX(IF_TokGW_Luna,1,H$7))</f>
        <v>217384136451.368</v>
      </c>
      <c r="I10" s="65" t="n">
        <f aca="false">IF(ISNUMBER(INDEX(IF_TokGW_Luna,1,I$7)),INDEX(IF_TokGW_Luna,1,I$7)*IF_Util,INDEX(IF_TokGW_Luna,1,I$7))</f>
        <v>316484351906.383</v>
      </c>
      <c r="J10" s="65" t="n">
        <f aca="false">IF(ISNUMBER(INDEX(IF_TokGW_Luna,1,J$7)),INDEX(IF_TokGW_Luna,1,J$7)*IF_Util,INDEX(IF_TokGW_Luna,1,J$7))</f>
        <v>316484351906.383</v>
      </c>
      <c r="K10" s="65" t="n">
        <f aca="false">IF(ISNUMBER(INDEX(IF_TokGW_Luna,1,K$7)),INDEX(IF_TokGW_Luna,1,K$7)*IF_Util,INDEX(IF_TokGW_Luna,1,K$7))</f>
        <v>316484351906.383</v>
      </c>
      <c r="L10" s="65" t="n">
        <f aca="false">IF(ISNUMBER(INDEX(IF_TokGW_Luna,1,L$7)),INDEX(IF_TokGW_Luna,1,L$7)*IF_Util,INDEX(IF_TokGW_Luna,1,L$7))</f>
        <v>463667040596.067</v>
      </c>
      <c r="M10" s="65" t="n">
        <f aca="false">IF(ISNUMBER(INDEX(IF_TokGW_Luna,1,M$7)),INDEX(IF_TokGW_Luna,1,M$7)*IF_Util,INDEX(IF_TokGW_Luna,1,M$7))</f>
        <v>463667040596.067</v>
      </c>
      <c r="N10" s="65" t="n">
        <f aca="false">IF(ISNUMBER(INDEX(IF_TokGW_Luna,1,N$7)),INDEX(IF_TokGW_Luna,1,N$7)*IF_Util,INDEX(IF_TokGW_Luna,1,N$7))</f>
        <v>463667040596.067</v>
      </c>
      <c r="O10" s="65" t="n">
        <f aca="false">IF(ISNUMBER(INDEX(IF_TokGW_Luna,1,O$7)),INDEX(IF_TokGW_Luna,1,O$7)*IF_Util,INDEX(IF_TokGW_Luna,1,O$7))</f>
        <v>626624227834.433</v>
      </c>
      <c r="P10" s="65" t="n">
        <f aca="false">IF(ISNUMBER(INDEX(IF_TokGW_Luna,1,P$7)),INDEX(IF_TokGW_Luna,1,P$7)*IF_Util,INDEX(IF_TokGW_Luna,1,P$7))</f>
        <v>626624227834.433</v>
      </c>
      <c r="Q10" s="65" t="n">
        <f aca="false">IF(ISNUMBER(INDEX(IF_TokGW_Luna,1,Q$7)),INDEX(IF_TokGW_Luna,1,Q$7)*IF_Util,INDEX(IF_TokGW_Luna,1,Q$7))</f>
        <v>626624227834.433</v>
      </c>
    </row>
    <row r="11" customFormat="false" ht="15" hidden="false" customHeight="false" outlineLevel="0" collapsed="false">
      <c r="A11" s="5" t="s">
        <v>1795</v>
      </c>
      <c r="B11" s="59" t="s">
        <v>1796</v>
      </c>
      <c r="C11" s="110" t="n">
        <f aca="false">IF(ISNUMBER(C10),C10*INDEX(B4_EffRef,1,1)/1000000000,C10)</f>
        <v>3.57102907624799</v>
      </c>
      <c r="D11" s="110" t="n">
        <f aca="false">IF(ISNUMBER(D10),D10*INDEX(B4_EffRef,1,1)/1000000000,D10)</f>
        <v>3.57102907624799</v>
      </c>
      <c r="E11" s="110" t="n">
        <f aca="false">IF(ISNUMBER(E10),E10*INDEX(B4_EffRef,1,1)/1000000000,E10)</f>
        <v>3.57102907624799</v>
      </c>
      <c r="F11" s="110" t="n">
        <f aca="false">IF(ISNUMBER(F10),F10*INDEX(B4_EffRef,1,1)/1000000000,F10)</f>
        <v>17.4680230535144</v>
      </c>
      <c r="G11" s="110" t="n">
        <f aca="false">IF(ISNUMBER(G10),G10*INDEX(B4_EffRef,1,1)/1000000000,G10)</f>
        <v>17.4680230535144</v>
      </c>
      <c r="H11" s="110" t="n">
        <f aca="false">IF(ISNUMBER(H10),H10*INDEX(B4_EffRef,1,1)/1000000000,H10)</f>
        <v>17.4680230535144</v>
      </c>
      <c r="I11" s="110" t="n">
        <f aca="false">IF(ISNUMBER(I10),I10*INDEX(B4_EffRef,1,1)/1000000000,I10)</f>
        <v>25.4312759220773</v>
      </c>
      <c r="J11" s="110" t="n">
        <f aca="false">IF(ISNUMBER(J10),J10*INDEX(B4_EffRef,1,1)/1000000000,J10)</f>
        <v>25.4312759220773</v>
      </c>
      <c r="K11" s="110" t="n">
        <f aca="false">IF(ISNUMBER(K10),K10*INDEX(B4_EffRef,1,1)/1000000000,K10)</f>
        <v>25.4312759220773</v>
      </c>
      <c r="L11" s="110" t="n">
        <f aca="false">IF(ISNUMBER(L10),L10*INDEX(B4_EffRef,1,1)/1000000000,L10)</f>
        <v>37.2582226398973</v>
      </c>
      <c r="M11" s="110" t="n">
        <f aca="false">IF(ISNUMBER(M10),M10*INDEX(B4_EffRef,1,1)/1000000000,M10)</f>
        <v>37.2582226398973</v>
      </c>
      <c r="N11" s="110" t="n">
        <f aca="false">IF(ISNUMBER(N10),N10*INDEX(B4_EffRef,1,1)/1000000000,N10)</f>
        <v>37.2582226398973</v>
      </c>
      <c r="O11" s="110" t="n">
        <f aca="false">IF(ISNUMBER(O10),O10*INDEX(B4_EffRef,1,1)/1000000000,O10)</f>
        <v>50.3527379522069</v>
      </c>
      <c r="P11" s="110" t="n">
        <f aca="false">IF(ISNUMBER(P10),P10*INDEX(B4_EffRef,1,1)/1000000000,P10)</f>
        <v>50.3527379522069</v>
      </c>
      <c r="Q11" s="110" t="n">
        <f aca="false">IF(ISNUMBER(Q10),Q10*INDEX(B4_EffRef,1,1)/1000000000,Q10)</f>
        <v>50.3527379522069</v>
      </c>
    </row>
    <row r="12" customFormat="false" ht="15" hidden="false" customHeight="false" outlineLevel="0" collapsed="false">
      <c r="A12" s="5" t="s">
        <v>1797</v>
      </c>
      <c r="B12" s="59" t="s">
        <v>1796</v>
      </c>
      <c r="C12" s="72" t="n">
        <f aca="false">IF(ISNUMBER(C10),C10*INDEX(B4_FrontRef,1,1)/1000000000,C10)</f>
        <v>3.57102907624799</v>
      </c>
      <c r="D12" s="72" t="n">
        <f aca="false">IF(ISNUMBER(D10),D10*INDEX(B4_FrontRef,1,1)/1000000000,D10)</f>
        <v>3.57102907624799</v>
      </c>
      <c r="E12" s="72" t="n">
        <f aca="false">IF(ISNUMBER(E10),E10*INDEX(B4_FrontRef,1,1)/1000000000,E10)</f>
        <v>3.57102907624799</v>
      </c>
      <c r="F12" s="72" t="n">
        <f aca="false">IF(ISNUMBER(F10),F10*INDEX(B4_FrontRef,1,1)/1000000000,F10)</f>
        <v>17.4680230535144</v>
      </c>
      <c r="G12" s="72" t="n">
        <f aca="false">IF(ISNUMBER(G10),G10*INDEX(B4_FrontRef,1,1)/1000000000,G10)</f>
        <v>17.4680230535144</v>
      </c>
      <c r="H12" s="72" t="n">
        <f aca="false">IF(ISNUMBER(H10),H10*INDEX(B4_FrontRef,1,1)/1000000000,H10)</f>
        <v>17.4680230535144</v>
      </c>
      <c r="I12" s="72" t="n">
        <f aca="false">IF(ISNUMBER(I10),I10*INDEX(B4_FrontRef,1,1)/1000000000,I10)</f>
        <v>25.4312759220773</v>
      </c>
      <c r="J12" s="72" t="n">
        <f aca="false">IF(ISNUMBER(J10),J10*INDEX(B4_FrontRef,1,1)/1000000000,J10)</f>
        <v>25.4312759220773</v>
      </c>
      <c r="K12" s="72" t="n">
        <f aca="false">IF(ISNUMBER(K10),K10*INDEX(B4_FrontRef,1,1)/1000000000,K10)</f>
        <v>25.4312759220773</v>
      </c>
      <c r="L12" s="72" t="n">
        <f aca="false">IF(ISNUMBER(L10),L10*INDEX(B4_FrontRef,1,1)/1000000000,L10)</f>
        <v>37.2582226398973</v>
      </c>
      <c r="M12" s="72" t="n">
        <f aca="false">IF(ISNUMBER(M10),M10*INDEX(B4_FrontRef,1,1)/1000000000,M10)</f>
        <v>37.2582226398973</v>
      </c>
      <c r="N12" s="72" t="n">
        <f aca="false">IF(ISNUMBER(N10),N10*INDEX(B4_FrontRef,1,1)/1000000000,N10)</f>
        <v>37.2582226398973</v>
      </c>
      <c r="O12" s="72" t="n">
        <f aca="false">IF(ISNUMBER(O10),O10*INDEX(B4_FrontRef,1,1)/1000000000,O10)</f>
        <v>50.3527379522069</v>
      </c>
      <c r="P12" s="72" t="n">
        <f aca="false">IF(ISNUMBER(P10),P10*INDEX(B4_FrontRef,1,1)/1000000000,P10)</f>
        <v>50.3527379522069</v>
      </c>
      <c r="Q12" s="72" t="n">
        <f aca="false">IF(ISNUMBER(Q10),Q10*INDEX(B4_FrontRef,1,1)/1000000000,Q10)</f>
        <v>50.3527379522069</v>
      </c>
    </row>
    <row r="13" customFormat="false" ht="15" hidden="false" customHeight="false" outlineLevel="0" collapsed="false">
      <c r="A13" s="5" t="s">
        <v>1798</v>
      </c>
      <c r="B13" s="59" t="s">
        <v>1796</v>
      </c>
      <c r="C13" s="72" t="n">
        <f aca="false">IF(ISNUMBER(INDEX(IF_TokGW_Luna,1,C$7)),INDEX(IF_TokGW_Luna,1,C$7)*INDEX(B4_EffRef,1,1)/1000000000,INDEX(IF_TokGW_Luna,1,C$7))</f>
        <v>5.95171512707998</v>
      </c>
      <c r="D13" s="72" t="n">
        <f aca="false">IF(ISNUMBER(INDEX(IF_TokGW_Luna,1,D$7)),INDEX(IF_TokGW_Luna,1,D$7)*INDEX(B4_EffRef,1,1)/1000000000,INDEX(IF_TokGW_Luna,1,D$7))</f>
        <v>5.95171512707998</v>
      </c>
      <c r="E13" s="72" t="n">
        <f aca="false">IF(ISNUMBER(INDEX(IF_TokGW_Luna,1,E$7)),INDEX(IF_TokGW_Luna,1,E$7)*INDEX(B4_EffRef,1,1)/1000000000,INDEX(IF_TokGW_Luna,1,E$7))</f>
        <v>5.95171512707998</v>
      </c>
      <c r="F13" s="72" t="n">
        <f aca="false">IF(ISNUMBER(INDEX(IF_TokGW_Luna,1,F$7)),INDEX(IF_TokGW_Luna,1,F$7)*INDEX(B4_EffRef,1,1)/1000000000,INDEX(IF_TokGW_Luna,1,F$7))</f>
        <v>29.1133717558573</v>
      </c>
      <c r="G13" s="72" t="n">
        <f aca="false">IF(ISNUMBER(INDEX(IF_TokGW_Luna,1,G$7)),INDEX(IF_TokGW_Luna,1,G$7)*INDEX(B4_EffRef,1,1)/1000000000,INDEX(IF_TokGW_Luna,1,G$7))</f>
        <v>29.1133717558573</v>
      </c>
      <c r="H13" s="72" t="n">
        <f aca="false">IF(ISNUMBER(INDEX(IF_TokGW_Luna,1,H$7)),INDEX(IF_TokGW_Luna,1,H$7)*INDEX(B4_EffRef,1,1)/1000000000,INDEX(IF_TokGW_Luna,1,H$7))</f>
        <v>29.1133717558573</v>
      </c>
      <c r="I13" s="72" t="n">
        <f aca="false">IF(ISNUMBER(INDEX(IF_TokGW_Luna,1,I$7)),INDEX(IF_TokGW_Luna,1,I$7)*INDEX(B4_EffRef,1,1)/1000000000,INDEX(IF_TokGW_Luna,1,I$7))</f>
        <v>42.3854598701289</v>
      </c>
      <c r="J13" s="72" t="n">
        <f aca="false">IF(ISNUMBER(INDEX(IF_TokGW_Luna,1,J$7)),INDEX(IF_TokGW_Luna,1,J$7)*INDEX(B4_EffRef,1,1)/1000000000,INDEX(IF_TokGW_Luna,1,J$7))</f>
        <v>42.3854598701289</v>
      </c>
      <c r="K13" s="72" t="n">
        <f aca="false">IF(ISNUMBER(INDEX(IF_TokGW_Luna,1,K$7)),INDEX(IF_TokGW_Luna,1,K$7)*INDEX(B4_EffRef,1,1)/1000000000,INDEX(IF_TokGW_Luna,1,K$7))</f>
        <v>42.3854598701289</v>
      </c>
      <c r="L13" s="72" t="n">
        <f aca="false">IF(ISNUMBER(INDEX(IF_TokGW_Luna,1,L$7)),INDEX(IF_TokGW_Luna,1,L$7)*INDEX(B4_EffRef,1,1)/1000000000,INDEX(IF_TokGW_Luna,1,L$7))</f>
        <v>62.0970377331622</v>
      </c>
      <c r="M13" s="72" t="n">
        <f aca="false">IF(ISNUMBER(INDEX(IF_TokGW_Luna,1,M$7)),INDEX(IF_TokGW_Luna,1,M$7)*INDEX(B4_EffRef,1,1)/1000000000,INDEX(IF_TokGW_Luna,1,M$7))</f>
        <v>62.0970377331622</v>
      </c>
      <c r="N13" s="72" t="n">
        <f aca="false">IF(ISNUMBER(INDEX(IF_TokGW_Luna,1,N$7)),INDEX(IF_TokGW_Luna,1,N$7)*INDEX(B4_EffRef,1,1)/1000000000,INDEX(IF_TokGW_Luna,1,N$7))</f>
        <v>62.0970377331622</v>
      </c>
      <c r="O13" s="72" t="n">
        <f aca="false">IF(ISNUMBER(INDEX(IF_TokGW_Luna,1,O$7)),INDEX(IF_TokGW_Luna,1,O$7)*INDEX(B4_EffRef,1,1)/1000000000,INDEX(IF_TokGW_Luna,1,O$7))</f>
        <v>83.9212299203448</v>
      </c>
      <c r="P13" s="72" t="n">
        <f aca="false">IF(ISNUMBER(INDEX(IF_TokGW_Luna,1,P$7)),INDEX(IF_TokGW_Luna,1,P$7)*INDEX(B4_EffRef,1,1)/1000000000,INDEX(IF_TokGW_Luna,1,P$7))</f>
        <v>83.9212299203448</v>
      </c>
      <c r="Q13" s="72" t="n">
        <f aca="false">IF(ISNUMBER(INDEX(IF_TokGW_Luna,1,Q$7)),INDEX(IF_TokGW_Luna,1,Q$7)*INDEX(B4_EffRef,1,1)/1000000000,INDEX(IF_TokGW_Luna,1,Q$7))</f>
        <v>83.9212299203448</v>
      </c>
    </row>
    <row r="14" customFormat="false" ht="15" hidden="false" customHeight="false" outlineLevel="0" collapsed="false">
      <c r="A14" s="5" t="s">
        <v>1799</v>
      </c>
      <c r="B14" s="59" t="s">
        <v>1796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1800</v>
      </c>
      <c r="B15" s="59" t="s">
        <v>97</v>
      </c>
      <c r="C15" s="86" t="n">
        <f aca="false">IF(ISNUMBER(C11),C11/C14,C11)</f>
        <v>0.525841528561523</v>
      </c>
      <c r="D15" s="86" t="n">
        <f aca="false">IF(ISNUMBER(D11),D11/D14,D11)</f>
        <v>0.368030191932644</v>
      </c>
      <c r="E15" s="86" t="n">
        <f aca="false">IF(ISNUMBER(E11),E11/E14,E11)</f>
        <v>0.214298993163926</v>
      </c>
      <c r="F15" s="86" t="n">
        <f aca="false">IF(ISNUMBER(F11),F11/F14,F11)</f>
        <v>2.64194017555426</v>
      </c>
      <c r="G15" s="86" t="n">
        <f aca="false">IF(ISNUMBER(G11),G11/G14,G11)</f>
        <v>1.97866962541496</v>
      </c>
      <c r="H15" s="86" t="n">
        <f aca="false">IF(ISNUMBER(H11),H11/H14,H11)</f>
        <v>1.2199554230711</v>
      </c>
      <c r="I15" s="86" t="n">
        <f aca="false">IF(ISNUMBER(I11),I11/I14,I11)</f>
        <v>3.01715272154044</v>
      </c>
      <c r="J15" s="86" t="n">
        <f aca="false">IF(ISNUMBER(J11),J11/J14,J11)</f>
        <v>2.33605693530661</v>
      </c>
      <c r="K15" s="86" t="n">
        <f aca="false">IF(ISNUMBER(K11),K11/K14,K11)</f>
        <v>1.37209400182618</v>
      </c>
      <c r="L15" s="86" t="n">
        <f aca="false">IF(ISNUMBER(L11),L11/L14,L11)</f>
        <v>3.91693874626715</v>
      </c>
      <c r="M15" s="86" t="n">
        <f aca="false">IF(ISNUMBER(M11),M11/M14,M11)</f>
        <v>3.04758995591473</v>
      </c>
      <c r="N15" s="86" t="n">
        <f aca="false">IF(ISNUMBER(N11),N11/N14,N11)</f>
        <v>1.88643239831331</v>
      </c>
      <c r="O15" s="86" t="n">
        <f aca="false">IF(ISNUMBER(O11),O11/O14,O11)</f>
        <v>4.98416384334334</v>
      </c>
      <c r="P15" s="86" t="n">
        <f aca="false">IF(ISNUMBER(P11),P11/P14,P11)</f>
        <v>3.27935098342304</v>
      </c>
      <c r="Q15" s="86" t="n">
        <f aca="false">IF(ISNUMBER(Q11),Q11/Q14,Q11)</f>
        <v>1.79637166684628</v>
      </c>
    </row>
    <row r="16" customFormat="false" ht="15" hidden="false" customHeight="false" outlineLevel="0" collapsed="false">
      <c r="A16" s="5" t="s">
        <v>1801</v>
      </c>
      <c r="B16" s="59" t="s">
        <v>97</v>
      </c>
      <c r="C16" s="84" t="n">
        <f aca="false">IF(ISNUMBER(C12),C12/C14,C12)</f>
        <v>0.525841528561523</v>
      </c>
      <c r="D16" s="84" t="n">
        <f aca="false">IF(ISNUMBER(D12),D12/D14,D12)</f>
        <v>0.368030191932644</v>
      </c>
      <c r="E16" s="84" t="n">
        <f aca="false">IF(ISNUMBER(E12),E12/E14,E12)</f>
        <v>0.214298993163926</v>
      </c>
      <c r="F16" s="84" t="n">
        <f aca="false">IF(ISNUMBER(F12),F12/F14,F12)</f>
        <v>2.64194017555426</v>
      </c>
      <c r="G16" s="84" t="n">
        <f aca="false">IF(ISNUMBER(G12),G12/G14,G12)</f>
        <v>1.97866962541496</v>
      </c>
      <c r="H16" s="84" t="n">
        <f aca="false">IF(ISNUMBER(H12),H12/H14,H12)</f>
        <v>1.2199554230711</v>
      </c>
      <c r="I16" s="84" t="n">
        <f aca="false">IF(ISNUMBER(I12),I12/I14,I12)</f>
        <v>3.01715272154044</v>
      </c>
      <c r="J16" s="84" t="n">
        <f aca="false">IF(ISNUMBER(J12),J12/J14,J12)</f>
        <v>2.33605693530661</v>
      </c>
      <c r="K16" s="84" t="n">
        <f aca="false">IF(ISNUMBER(K12),K12/K14,K12)</f>
        <v>1.37209400182618</v>
      </c>
      <c r="L16" s="84" t="n">
        <f aca="false">IF(ISNUMBER(L12),L12/L14,L12)</f>
        <v>3.91693874626715</v>
      </c>
      <c r="M16" s="84" t="n">
        <f aca="false">IF(ISNUMBER(M12),M12/M14,M12)</f>
        <v>3.04758995591473</v>
      </c>
      <c r="N16" s="84" t="n">
        <f aca="false">IF(ISNUMBER(N12),N12/N14,N12)</f>
        <v>1.88643239831331</v>
      </c>
      <c r="O16" s="84" t="n">
        <f aca="false">IF(ISNUMBER(O12),O12/O14,O12)</f>
        <v>4.98416384334334</v>
      </c>
      <c r="P16" s="84" t="n">
        <f aca="false">IF(ISNUMBER(P12),P12/P14,P12)</f>
        <v>3.27935098342304</v>
      </c>
      <c r="Q16" s="84" t="n">
        <f aca="false">IF(ISNUMBER(Q12),Q12/Q14,Q12)</f>
        <v>1.79637166684628</v>
      </c>
    </row>
    <row r="17" customFormat="false" ht="15" hidden="false" customHeight="false" outlineLevel="0" collapsed="false">
      <c r="A17" s="5" t="s">
        <v>1802</v>
      </c>
      <c r="B17" s="59" t="s">
        <v>795</v>
      </c>
      <c r="C17" s="155" t="n">
        <f aca="false">Amortize!C14</f>
        <v>0.12131988200181</v>
      </c>
      <c r="D17" s="155" t="n">
        <f aca="false">Amortize!D14</f>
        <v>0.173337199275656</v>
      </c>
      <c r="E17" s="155" t="n">
        <f aca="false">Amortize!E14</f>
        <v>0.297675954964459</v>
      </c>
      <c r="F17" s="155" t="n">
        <f aca="false">Amortize!F14</f>
        <v>0.0260936867672857</v>
      </c>
      <c r="G17" s="155" t="n">
        <f aca="false">Amortize!G14</f>
        <v>0.0348369296673268</v>
      </c>
      <c r="H17" s="155" t="n">
        <f aca="false">Amortize!H14</f>
        <v>0.0564959625271565</v>
      </c>
      <c r="I17" s="155" t="n">
        <f aca="false">Amortize!I14</f>
        <v>0.0228541941694006</v>
      </c>
      <c r="J17" s="155" t="n">
        <f aca="false">Amortize!J14</f>
        <v>0.0295143560848238</v>
      </c>
      <c r="K17" s="155" t="n">
        <f aca="false">Amortize!K14</f>
        <v>0.0502420199217979</v>
      </c>
      <c r="L17" s="155" t="n">
        <f aca="false">Amortize!L14</f>
        <v>0.0174796823282432</v>
      </c>
      <c r="M17" s="155" t="n">
        <f aca="false">Amortize!M14</f>
        <v>0.0224628079319604</v>
      </c>
      <c r="N17" s="155" t="n">
        <f aca="false">Amortize!N14</f>
        <v>0.0362826941230965</v>
      </c>
      <c r="O17" s="155" t="n">
        <f aca="false">Amortize!O14</f>
        <v>0.0137286838275377</v>
      </c>
      <c r="P17" s="155" t="n">
        <f aca="false">Amortize!P14</f>
        <v>0.020860085624086</v>
      </c>
      <c r="Q17" s="155" t="n">
        <f aca="false">Amortize!Q14</f>
        <v>0.0380720088816252</v>
      </c>
    </row>
    <row r="18" customFormat="false" ht="15" hidden="false" customHeight="false" outlineLevel="0" collapsed="false">
      <c r="A18" s="5" t="s">
        <v>1803</v>
      </c>
      <c r="B18" s="59" t="s">
        <v>795</v>
      </c>
      <c r="C18" s="156" t="n">
        <f aca="false">IF(AND(ISNUMBER(C17),ISNUMBER(Amortize!C13)),C17+Amortize!C13,"SLO 不可達")</f>
        <v>0.188914233420327</v>
      </c>
      <c r="D18" s="156" t="n">
        <f aca="false">IF(AND(ISNUMBER(D17),ISNUMBER(Amortize!D13)),D17+Amortize!D13,"SLO 不可達")</f>
        <v>0.269916006806052</v>
      </c>
      <c r="E18" s="156" t="n">
        <f aca="false">IF(AND(ISNUMBER(E17),ISNUMBER(Amortize!E13)),E17+Amortize!E13,"SLO 不可達")</f>
        <v>0.463537289855792</v>
      </c>
      <c r="F18" s="156" t="n">
        <f aca="false">IF(AND(ISNUMBER(F17),ISNUMBER(Amortize!F13)),F17+Amortize!F13,"SLO 不可達")</f>
        <v>0.0321744990795468</v>
      </c>
      <c r="G18" s="156" t="n">
        <f aca="false">IF(AND(ISNUMBER(G17),ISNUMBER(Amortize!G13)),G17+Amortize!G13,"SLO 不可達")</f>
        <v>0.0429560932413866</v>
      </c>
      <c r="H18" s="156" t="n">
        <f aca="false">IF(AND(ISNUMBER(H17),ISNUMBER(Amortize!H13)),H17+Amortize!H13,"SLO 不可達")</f>
        <v>0.0696645931541063</v>
      </c>
      <c r="I18" s="156" t="n">
        <f aca="false">IF(AND(ISNUMBER(I17),ISNUMBER(Amortize!I13)),I17+Amortize!I13,"SLO 不可達")</f>
        <v>0.0280907361641086</v>
      </c>
      <c r="J18" s="156" t="n">
        <f aca="false">IF(AND(ISNUMBER(J17),ISNUMBER(Amortize!J13)),J17+Amortize!J13,"SLO 不可達")</f>
        <v>0.0362776531141064</v>
      </c>
      <c r="K18" s="156" t="n">
        <f aca="false">IF(AND(ISNUMBER(K17),ISNUMBER(Amortize!K13)),K17+Amortize!K13,"SLO 不可達")</f>
        <v>0.0617568628624171</v>
      </c>
      <c r="L18" s="156" t="n">
        <f aca="false">IF(AND(ISNUMBER(L17),ISNUMBER(Amortize!L13)),L17+Amortize!L13,"SLO 不可達")</f>
        <v>0.019589084248297</v>
      </c>
      <c r="M18" s="156" t="n">
        <f aca="false">IF(AND(ISNUMBER(M17),ISNUMBER(Amortize!M13)),M17+Amortize!M13,"SLO 不可達")</f>
        <v>0.0251739331921266</v>
      </c>
      <c r="N18" s="156" t="n">
        <f aca="false">IF(AND(ISNUMBER(N17),ISNUMBER(Amortize!N13)),N17+Amortize!N13,"SLO 不可達")</f>
        <v>0.0406626009352869</v>
      </c>
      <c r="O18" s="156" t="n">
        <f aca="false">IF(AND(ISNUMBER(O17),ISNUMBER(Amortize!O13)),O17+Amortize!O13,"SLO 不可達")</f>
        <v>0.0147563579921895</v>
      </c>
      <c r="P18" s="156" t="n">
        <f aca="false">IF(AND(ISNUMBER(P17),ISNUMBER(Amortize!P13)),P17+Amortize!P13,"SLO 不可達")</f>
        <v>0.0224220094437953</v>
      </c>
      <c r="Q18" s="156" t="n">
        <f aca="false">IF(AND(ISNUMBER(Q17),ISNUMBER(Amortize!Q13)),Q17+Amortize!Q13,"SLO 不可達")</f>
        <v>0.0409233655962342</v>
      </c>
    </row>
    <row r="19" customFormat="false" ht="15" hidden="false" customHeight="false" outlineLevel="0" collapsed="false">
      <c r="A19" s="5" t="s">
        <v>1804</v>
      </c>
      <c r="B19" s="59" t="s">
        <v>795</v>
      </c>
      <c r="C19" s="155" t="n">
        <f aca="false">IF(AND(ISNUMBER(C17),ISNUMBER(Amortize!C15)),C17+Amortize!C15,"SLO 不可達")</f>
        <v>0.295902151223927</v>
      </c>
      <c r="D19" s="155" t="n">
        <f aca="false">IF(AND(ISNUMBER(D17),ISNUMBER(Amortize!D15)),D17+Amortize!D15,"SLO 不可達")</f>
        <v>0.422773656769893</v>
      </c>
      <c r="E19" s="155" t="n">
        <f aca="false">IF(AND(ISNUMBER(E17),ISNUMBER(Amortize!E15)),E17+Amortize!E15,"SLO 不可達")</f>
        <v>0.72603891454746</v>
      </c>
      <c r="F19" s="155" t="n">
        <f aca="false">IF(AND(ISNUMBER(F17),ISNUMBER(Amortize!F15)),F17+Amortize!F15,"SLO 不可達")</f>
        <v>0.0636431384567943</v>
      </c>
      <c r="G19" s="155" t="n">
        <f aca="false">IF(AND(ISNUMBER(G17),ISNUMBER(Amortize!G15)),G17+Amortize!G15,"SLO 不可達")</f>
        <v>0.0849681211398214</v>
      </c>
      <c r="H19" s="155" t="n">
        <f aca="false">IF(AND(ISNUMBER(H17),ISNUMBER(Amortize!H15)),H17+Amortize!H15,"SLO 不可達")</f>
        <v>0.13779503055404</v>
      </c>
      <c r="I19" s="155" t="n">
        <f aca="false">IF(AND(ISNUMBER(I17),ISNUMBER(Amortize!I15)),I17+Amortize!I15,"SLO 不可達")</f>
        <v>0.055741936998538</v>
      </c>
      <c r="J19" s="155" t="n">
        <f aca="false">IF(AND(ISNUMBER(J17),ISNUMBER(Amortize!J15)),J17+Amortize!J15,"SLO 不可達")</f>
        <v>0.0719862343532289</v>
      </c>
      <c r="K19" s="155" t="n">
        <f aca="false">IF(AND(ISNUMBER(K17),ISNUMBER(Amortize!K15)),K17+Amortize!K15,"SLO 不可達")</f>
        <v>0.122541512004385</v>
      </c>
      <c r="L19" s="155" t="n">
        <f aca="false">IF(AND(ISNUMBER(L17),ISNUMBER(Amortize!L15)),L17+Amortize!L15,"SLO 不可達")</f>
        <v>0.0426333715323005</v>
      </c>
      <c r="M19" s="155" t="n">
        <f aca="false">IF(AND(ISNUMBER(M17),ISNUMBER(Amortize!M15)),M17+Amortize!M15,"SLO 不可達")</f>
        <v>0.0547873364194157</v>
      </c>
      <c r="N19" s="155" t="n">
        <f aca="false">IF(AND(ISNUMBER(N17),ISNUMBER(Amortize!N15)),N17+Amortize!N15,"SLO 不可達")</f>
        <v>0.0884943759099914</v>
      </c>
      <c r="O19" s="155" t="n">
        <f aca="false">IF(AND(ISNUMBER(O17),ISNUMBER(Amortize!O15)),O17+Amortize!O15,"SLO 不可達")</f>
        <v>0.0334845947013115</v>
      </c>
      <c r="P19" s="155" t="n">
        <f aca="false">IF(AND(ISNUMBER(P17),ISNUMBER(Amortize!P15)),P17+Amortize!P15,"SLO 不可達")</f>
        <v>0.0508782576197221</v>
      </c>
      <c r="Q19" s="155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1805</v>
      </c>
      <c r="B20" s="59" t="s">
        <v>795</v>
      </c>
      <c r="C20" s="156" t="n">
        <f aca="false">IF(AND(ISNUMBER(C17),ISNUMBER(Amortize!C43)),C17+Amortize!C43,"SLO 不可達")</f>
        <v>0.268908103789957</v>
      </c>
      <c r="D20" s="156" t="n">
        <f aca="false">IF(AND(ISNUMBER(D17),ISNUMBER(Amortize!D43)),D17+Amortize!D43,"SLO 不可達")</f>
        <v>0.384206606148034</v>
      </c>
      <c r="E20" s="156" t="n">
        <f aca="false">IF(AND(ISNUMBER(E17),ISNUMBER(Amortize!E43)),E17+Amortize!E43,"SLO 不可達")</f>
        <v>0.659808522342852</v>
      </c>
      <c r="F20" s="156" t="n">
        <f aca="false">IF(AND(ISNUMBER(F17),ISNUMBER(Amortize!F43)),F17+Amortize!F43,"SLO 不可達")</f>
        <v>0.0549066744319596</v>
      </c>
      <c r="G20" s="156" t="n">
        <f aca="false">IF(AND(ISNUMBER(G17),ISNUMBER(Amortize!G43)),G17+Amortize!G43,"SLO 不可達")</f>
        <v>0.0733049419446403</v>
      </c>
      <c r="H20" s="156" t="n">
        <f aca="false">IF(AND(ISNUMBER(H17),ISNUMBER(Amortize!H43)),H17+Amortize!H43,"SLO 不可達")</f>
        <v>0.118881701640887</v>
      </c>
      <c r="I20" s="156" t="n">
        <f aca="false">IF(AND(ISNUMBER(I17),ISNUMBER(Amortize!I43)),I17+Amortize!I43,"SLO 不可達")</f>
        <v>0.049793847389683</v>
      </c>
      <c r="J20" s="156" t="n">
        <f aca="false">IF(AND(ISNUMBER(J17),ISNUMBER(Amortize!J43)),J17+Amortize!J43,"SLO 不可達")</f>
        <v>0.0643055377815363</v>
      </c>
      <c r="K20" s="156" t="n">
        <f aca="false">IF(AND(ISNUMBER(K17),ISNUMBER(Amortize!K43)),K17+Amortize!K43,"SLO 不可達")</f>
        <v>0.109468619996102</v>
      </c>
      <c r="L20" s="156" t="n">
        <f aca="false">IF(AND(ISNUMBER(L17),ISNUMBER(Amortize!L43)),L17+Amortize!L43,"SLO 不可達")</f>
        <v>0.0347350583568751</v>
      </c>
      <c r="M20" s="156" t="n">
        <f aca="false">IF(AND(ISNUMBER(M17),ISNUMBER(Amortize!M43)),M17+Amortize!M43,"SLO 不可達")</f>
        <v>0.0446375992677688</v>
      </c>
      <c r="N20" s="156" t="n">
        <f aca="false">IF(AND(ISNUMBER(N17),ISNUMBER(Amortize!N43)),N17+Amortize!N43,"SLO 不可達")</f>
        <v>0.0721006815327499</v>
      </c>
      <c r="O20" s="156" t="n">
        <f aca="false">IF(AND(ISNUMBER(O17),ISNUMBER(Amortize!O43)),O17+Amortize!O43,"SLO 不可達")</f>
        <v>0.0260531870036248</v>
      </c>
      <c r="P20" s="156" t="n">
        <f aca="false">IF(AND(ISNUMBER(P17),ISNUMBER(Amortize!P43)),P17+Amortize!P43,"SLO 不可達")</f>
        <v>0.0395868190529953</v>
      </c>
      <c r="Q20" s="156" t="n">
        <f aca="false">IF(AND(ISNUMBER(Q17),ISNUMBER(Amortize!Q43)),Q17+Amortize!Q43,"SLO 不可達")</f>
        <v>0.0722507809044062</v>
      </c>
    </row>
    <row r="21" customFormat="false" ht="29.85" hidden="false" customHeight="false" outlineLevel="0" collapsed="false">
      <c r="A21" s="5" t="s">
        <v>1806</v>
      </c>
      <c r="B21" s="59" t="s">
        <v>93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1807</v>
      </c>
      <c r="B22" s="59" t="s">
        <v>93</v>
      </c>
      <c r="C22" s="83" t="n">
        <f aca="false">IF(ISNUMBER(C18),1-C18/INDEX(B4_EffRef,1,1),"SLO 不可達")</f>
        <v>-1.35097912165783</v>
      </c>
      <c r="D22" s="83" t="n">
        <f aca="false">IF(ISNUMBER(D18),1-D18/INDEX(B4_EffRef,1,1),"SLO 不可達")</f>
        <v>-2.35902110239833</v>
      </c>
      <c r="E22" s="83" t="n">
        <f aca="false">IF(ISNUMBER(E18),1-E18/INDEX(B4_EffRef,1,1),"SLO 不可達")</f>
        <v>-4.76857799875847</v>
      </c>
      <c r="F22" s="83" t="n">
        <f aca="false">IF(ISNUMBER(F18),1-F18/INDEX(B4_EffRef,1,1),"SLO 不可達")</f>
        <v>0.599598324507853</v>
      </c>
      <c r="G22" s="83" t="n">
        <f aca="false">IF(ISNUMBER(G18),1-G18/INDEX(B4_EffRef,1,1),"SLO 不可達")</f>
        <v>0.465424724595577</v>
      </c>
      <c r="H22" s="83" t="n">
        <f aca="false">IF(ISNUMBER(H18),1-H18/INDEX(B4_EffRef,1,1),"SLO 不可達")</f>
        <v>0.133045715726</v>
      </c>
      <c r="I22" s="83" t="n">
        <f aca="false">IF(ISNUMBER(I18),1-I18/INDEX(B4_EffRef,1,1),"SLO 不可達")</f>
        <v>0.650419489108162</v>
      </c>
      <c r="J22" s="83" t="n">
        <f aca="false">IF(ISNUMBER(J18),1-J18/INDEX(B4_EffRef,1,1),"SLO 不可達")</f>
        <v>0.548535843436176</v>
      </c>
      <c r="K22" s="83" t="n">
        <f aca="false">IF(ISNUMBER(K18),1-K18/INDEX(B4_EffRef,1,1),"SLO 不可達")</f>
        <v>0.231454969909079</v>
      </c>
      <c r="L22" s="83" t="n">
        <f aca="false">IF(ISNUMBER(L18),1-L18/INDEX(B4_EffRef,1,1),"SLO 不可達")</f>
        <v>0.756219913945418</v>
      </c>
      <c r="M22" s="83" t="n">
        <f aca="false">IF(ISNUMBER(M18),1-M18/INDEX(B4_EffRef,1,1),"SLO 不可達")</f>
        <v>0.686718198659929</v>
      </c>
      <c r="N22" s="83" t="n">
        <f aca="false">IF(ISNUMBER(N18),1-N18/INDEX(B4_EffRef,1,1),"SLO 不可達")</f>
        <v>0.493966525971264</v>
      </c>
      <c r="O22" s="83" t="n">
        <f aca="false">IF(ISNUMBER(O18),1-O18/INDEX(B4_EffRef,1,1),"SLO 不可達")</f>
        <v>0.816361695340562</v>
      </c>
      <c r="P22" s="83" t="n">
        <f aca="false">IF(ISNUMBER(P18),1-P18/INDEX(B4_EffRef,1,1),"SLO 不可達")</f>
        <v>0.720965037342149</v>
      </c>
      <c r="Q22" s="83" t="n">
        <f aca="false">IF(ISNUMBER(Q18),1-Q18/INDEX(B4_EffRef,1,1),"SLO 不可達")</f>
        <v>0.49072139053359</v>
      </c>
    </row>
    <row r="23" customFormat="false" ht="15" hidden="false" customHeight="false" outlineLevel="0" collapsed="false">
      <c r="A23" s="5" t="s">
        <v>1808</v>
      </c>
      <c r="B23" s="59" t="s">
        <v>93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1809</v>
      </c>
      <c r="B24" s="59" t="s">
        <v>93</v>
      </c>
      <c r="C24" s="116" t="n">
        <f aca="false">IF(ISNUMBER(C20),1-C20/INDEX(B4_EffRef,1,1),"SLO 不可達")</f>
        <v>-2.34647806154537</v>
      </c>
      <c r="D24" s="116" t="n">
        <f aca="false">IF(ISNUMBER(D20),1-D20/INDEX(B4_EffRef,1,1),"SLO 不可達")</f>
        <v>-3.78133221146613</v>
      </c>
      <c r="E24" s="116" t="n">
        <f aca="false">IF(ISNUMBER(E20),1-E20/INDEX(B4_EffRef,1,1),"SLO 不可達")</f>
        <v>-7.21111269508527</v>
      </c>
      <c r="F24" s="116" t="n">
        <f aca="false">IF(ISNUMBER(F20),1-F20/INDEX(B4_EffRef,1,1),"SLO 不可達")</f>
        <v>0.316703443186343</v>
      </c>
      <c r="G24" s="116" t="n">
        <f aca="false">IF(ISNUMBER(G20),1-G20/INDEX(B4_EffRef,1,1),"SLO 不可達")</f>
        <v>0.0877427025694658</v>
      </c>
      <c r="H24" s="116" t="n">
        <f aca="false">IF(ISNUMBER(H20),1-H20/INDEX(B4_EffRef,1,1),"SLO 不可達")</f>
        <v>-0.479445955154842</v>
      </c>
      <c r="I24" s="116" t="n">
        <f aca="false">IF(ISNUMBER(I20),1-I20/INDEX(B4_EffRef,1,1),"SLO 不可達")</f>
        <v>0.380330992108481</v>
      </c>
      <c r="J24" s="116" t="n">
        <f aca="false">IF(ISNUMBER(J20),1-J20/INDEX(B4_EffRef,1,1),"SLO 不可達")</f>
        <v>0.199737499953226</v>
      </c>
      <c r="K24" s="116" t="n">
        <f aca="false">IF(ISNUMBER(K20),1-K20/INDEX(B4_EffRef,1,1),"SLO 不可達")</f>
        <v>-0.362303069641762</v>
      </c>
      <c r="L24" s="116" t="n">
        <f aca="false">IF(ISNUMBER(L20),1-L20/INDEX(B4_EffRef,1,1),"SLO 不可達")</f>
        <v>0.567732957395083</v>
      </c>
      <c r="M24" s="116" t="n">
        <f aca="false">IF(ISNUMBER(M20),1-M20/INDEX(B4_EffRef,1,1),"SLO 不可達")</f>
        <v>0.4444989029177</v>
      </c>
      <c r="N24" s="116" t="n">
        <f aca="false">IF(ISNUMBER(N20),1-N20/INDEX(B4_EffRef,1,1),"SLO 不可達")</f>
        <v>0.102729350394429</v>
      </c>
      <c r="O24" s="116" t="n">
        <f aca="false">IF(ISNUMBER(O20),1-O20/INDEX(B4_EffRef,1,1),"SLO 不可達")</f>
        <v>0.675776157311085</v>
      </c>
      <c r="P24" s="116" t="n">
        <f aca="false">IF(ISNUMBER(P20),1-P20/INDEX(B4_EffRef,1,1),"SLO 不可達")</f>
        <v>0.507354298289605</v>
      </c>
      <c r="Q24" s="116" t="n">
        <f aca="false">IF(ISNUMBER(Q20),1-Q20/INDEX(B4_EffRef,1,1),"SLO 不可達")</f>
        <v>0.100861410205122</v>
      </c>
    </row>
    <row r="25" customFormat="false" ht="15" hidden="false" customHeight="false" outlineLevel="0" collapsed="false">
      <c r="A25" s="5" t="s">
        <v>1810</v>
      </c>
      <c r="B25" s="59" t="s">
        <v>93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1811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1794</v>
      </c>
      <c r="B28" s="59" t="s">
        <v>787</v>
      </c>
      <c r="C28" s="65" t="n">
        <f aca="false">IF(ISNUMBER(INDEX(IF_TokGW_Sol,1,C$7)),INDEX(IF_TokGW_Sol,1,C$7)*IF_Util,INDEX(IF_TokGW_Sol,1,C$7))</f>
        <v>12894257811.2541</v>
      </c>
      <c r="D28" s="65" t="n">
        <f aca="false">IF(ISNUMBER(INDEX(IF_TokGW_Sol,1,D$7)),INDEX(IF_TokGW_Sol,1,D$7)*IF_Util,INDEX(IF_TokGW_Sol,1,D$7))</f>
        <v>12894257811.2541</v>
      </c>
      <c r="E28" s="65" t="n">
        <f aca="false">IF(ISNUMBER(INDEX(IF_TokGW_Sol,1,E$7)),INDEX(IF_TokGW_Sol,1,E$7)*IF_Util,INDEX(IF_TokGW_Sol,1,E$7))</f>
        <v>12894257811.2541</v>
      </c>
      <c r="F28" s="65" t="n">
        <f aca="false">IF(ISNUMBER(INDEX(IF_TokGW_Sol,1,F$7)),INDEX(IF_TokGW_Sol,1,F$7)*IF_Util,INDEX(IF_TokGW_Sol,1,F$7))</f>
        <v>62475240648.4001</v>
      </c>
      <c r="G28" s="65" t="n">
        <f aca="false">IF(ISNUMBER(INDEX(IF_TokGW_Sol,1,G$7)),INDEX(IF_TokGW_Sol,1,G$7)*IF_Util,INDEX(IF_TokGW_Sol,1,G$7))</f>
        <v>62475240648.4001</v>
      </c>
      <c r="H28" s="65" t="n">
        <f aca="false">IF(ISNUMBER(INDEX(IF_TokGW_Sol,1,H$7)),INDEX(IF_TokGW_Sol,1,H$7)*IF_Util,INDEX(IF_TokGW_Sol,1,H$7))</f>
        <v>62475240648.4001</v>
      </c>
      <c r="I28" s="65" t="n">
        <f aca="false">IF(ISNUMBER(INDEX(IF_TokGW_Sol,1,I$7)),INDEX(IF_TokGW_Sol,1,I$7)*IF_Util,INDEX(IF_TokGW_Sol,1,I$7))</f>
        <v>90956204852.7288</v>
      </c>
      <c r="J28" s="65" t="n">
        <f aca="false">IF(ISNUMBER(INDEX(IF_TokGW_Sol,1,J$7)),INDEX(IF_TokGW_Sol,1,J$7)*IF_Util,INDEX(IF_TokGW_Sol,1,J$7))</f>
        <v>90956204852.7288</v>
      </c>
      <c r="K28" s="65" t="n">
        <f aca="false">IF(ISNUMBER(INDEX(IF_TokGW_Sol,1,K$7)),INDEX(IF_TokGW_Sol,1,K$7)*IF_Util,INDEX(IF_TokGW_Sol,1,K$7))</f>
        <v>90956204852.7288</v>
      </c>
      <c r="L28" s="65" t="n">
        <f aca="false">IF(ISNUMBER(INDEX(IF_TokGW_Sol,1,L$7)),INDEX(IF_TokGW_Sol,1,L$7)*IF_Util,INDEX(IF_TokGW_Sol,1,L$7))</f>
        <v>142372403240.994</v>
      </c>
      <c r="M28" s="65" t="n">
        <f aca="false">IF(ISNUMBER(INDEX(IF_TokGW_Sol,1,M$7)),INDEX(IF_TokGW_Sol,1,M$7)*IF_Util,INDEX(IF_TokGW_Sol,1,M$7))</f>
        <v>142372403240.994</v>
      </c>
      <c r="N28" s="65" t="n">
        <f aca="false">IF(ISNUMBER(INDEX(IF_TokGW_Sol,1,N$7)),INDEX(IF_TokGW_Sol,1,N$7)*IF_Util,INDEX(IF_TokGW_Sol,1,N$7))</f>
        <v>142372403240.994</v>
      </c>
      <c r="O28" s="65" t="n">
        <f aca="false">IF(ISNUMBER(INDEX(IF_TokGW_Sol,1,O$7)),INDEX(IF_TokGW_Sol,1,O$7)*IF_Util,INDEX(IF_TokGW_Sol,1,O$7))</f>
        <v>195711402313.41</v>
      </c>
      <c r="P28" s="65" t="n">
        <f aca="false">IF(ISNUMBER(INDEX(IF_TokGW_Sol,1,P$7)),INDEX(IF_TokGW_Sol,1,P$7)*IF_Util,INDEX(IF_TokGW_Sol,1,P$7))</f>
        <v>195711402313.41</v>
      </c>
      <c r="Q28" s="65" t="n">
        <f aca="false">IF(ISNUMBER(INDEX(IF_TokGW_Sol,1,Q$7)),INDEX(IF_TokGW_Sol,1,Q$7)*IF_Util,INDEX(IF_TokGW_Sol,1,Q$7))</f>
        <v>195711402313.41</v>
      </c>
    </row>
    <row r="29" customFormat="false" ht="15" hidden="false" customHeight="false" outlineLevel="0" collapsed="false">
      <c r="A29" s="5" t="s">
        <v>1812</v>
      </c>
      <c r="B29" s="59" t="s">
        <v>1796</v>
      </c>
      <c r="C29" s="110" t="n">
        <f aca="false">IF(ISNUMBER(C28),C28*INDEX(B4_EffRef,1,2)/1000000000,C28)</f>
        <v>20.7225049979976</v>
      </c>
      <c r="D29" s="110" t="n">
        <f aca="false">IF(ISNUMBER(D28),D28*INDEX(B4_EffRef,1,2)/1000000000,D28)</f>
        <v>20.7225049979976</v>
      </c>
      <c r="E29" s="110" t="n">
        <f aca="false">IF(ISNUMBER(E28),E28*INDEX(B4_EffRef,1,2)/1000000000,E28)</f>
        <v>20.7225049979976</v>
      </c>
      <c r="F29" s="110" t="n">
        <f aca="false">IF(ISNUMBER(F28),F28*INDEX(B4_EffRef,1,2)/1000000000,F28)</f>
        <v>100.404653415384</v>
      </c>
      <c r="G29" s="110" t="n">
        <f aca="false">IF(ISNUMBER(G28),G28*INDEX(B4_EffRef,1,2)/1000000000,G28)</f>
        <v>100.404653415384</v>
      </c>
      <c r="H29" s="110" t="n">
        <f aca="false">IF(ISNUMBER(H28),H28*INDEX(B4_EffRef,1,2)/1000000000,H28)</f>
        <v>100.404653415384</v>
      </c>
      <c r="I29" s="110" t="n">
        <f aca="false">IF(ISNUMBER(I28),I28*INDEX(B4_EffRef,1,2)/1000000000,I28)</f>
        <v>146.176727443319</v>
      </c>
      <c r="J29" s="110" t="n">
        <f aca="false">IF(ISNUMBER(J28),J28*INDEX(B4_EffRef,1,2)/1000000000,J28)</f>
        <v>146.176727443319</v>
      </c>
      <c r="K29" s="110" t="n">
        <f aca="false">IF(ISNUMBER(K28),K28*INDEX(B4_EffRef,1,2)/1000000000,K28)</f>
        <v>146.176727443319</v>
      </c>
      <c r="L29" s="110" t="n">
        <f aca="false">IF(ISNUMBER(L28),L28*INDEX(B4_EffRef,1,2)/1000000000,L28)</f>
        <v>228.808271164193</v>
      </c>
      <c r="M29" s="110" t="n">
        <f aca="false">IF(ISNUMBER(M28),M28*INDEX(B4_EffRef,1,2)/1000000000,M28)</f>
        <v>228.808271164193</v>
      </c>
      <c r="N29" s="110" t="n">
        <f aca="false">IF(ISNUMBER(N28),N28*INDEX(B4_EffRef,1,2)/1000000000,N28)</f>
        <v>228.808271164193</v>
      </c>
      <c r="O29" s="110" t="n">
        <f aca="false">IF(ISNUMBER(O28),O28*INDEX(B4_EffRef,1,2)/1000000000,O28)</f>
        <v>314.529969229019</v>
      </c>
      <c r="P29" s="110" t="n">
        <f aca="false">IF(ISNUMBER(P28),P28*INDEX(B4_EffRef,1,2)/1000000000,P28)</f>
        <v>314.529969229019</v>
      </c>
      <c r="Q29" s="110" t="n">
        <f aca="false">IF(ISNUMBER(Q28),Q28*INDEX(B4_EffRef,1,2)/1000000000,Q28)</f>
        <v>314.529969229019</v>
      </c>
    </row>
    <row r="30" customFormat="false" ht="15" hidden="false" customHeight="false" outlineLevel="0" collapsed="false">
      <c r="A30" s="5" t="s">
        <v>1813</v>
      </c>
      <c r="B30" s="59" t="s">
        <v>1796</v>
      </c>
      <c r="C30" s="72" t="n">
        <f aca="false">IF(ISNUMBER(C28),C28*INDEX(B4_FrontRef,1,2)/1000000000,C28)</f>
        <v>20.7225049979976</v>
      </c>
      <c r="D30" s="72" t="n">
        <f aca="false">IF(ISNUMBER(D28),D28*INDEX(B4_FrontRef,1,2)/1000000000,D28)</f>
        <v>20.7225049979976</v>
      </c>
      <c r="E30" s="72" t="n">
        <f aca="false">IF(ISNUMBER(E28),E28*INDEX(B4_FrontRef,1,2)/1000000000,E28)</f>
        <v>20.7225049979976</v>
      </c>
      <c r="F30" s="72" t="n">
        <f aca="false">IF(ISNUMBER(F28),F28*INDEX(B4_FrontRef,1,2)/1000000000,F28)</f>
        <v>100.404653415384</v>
      </c>
      <c r="G30" s="72" t="n">
        <f aca="false">IF(ISNUMBER(G28),G28*INDEX(B4_FrontRef,1,2)/1000000000,G28)</f>
        <v>100.404653415384</v>
      </c>
      <c r="H30" s="72" t="n">
        <f aca="false">IF(ISNUMBER(H28),H28*INDEX(B4_FrontRef,1,2)/1000000000,H28)</f>
        <v>100.404653415384</v>
      </c>
      <c r="I30" s="72" t="n">
        <f aca="false">IF(ISNUMBER(I28),I28*INDEX(B4_FrontRef,1,2)/1000000000,I28)</f>
        <v>146.176727443319</v>
      </c>
      <c r="J30" s="72" t="n">
        <f aca="false">IF(ISNUMBER(J28),J28*INDEX(B4_FrontRef,1,2)/1000000000,J28)</f>
        <v>146.176727443319</v>
      </c>
      <c r="K30" s="72" t="n">
        <f aca="false">IF(ISNUMBER(K28),K28*INDEX(B4_FrontRef,1,2)/1000000000,K28)</f>
        <v>146.176727443319</v>
      </c>
      <c r="L30" s="72" t="n">
        <f aca="false">IF(ISNUMBER(L28),L28*INDEX(B4_FrontRef,1,2)/1000000000,L28)</f>
        <v>228.808271164193</v>
      </c>
      <c r="M30" s="72" t="n">
        <f aca="false">IF(ISNUMBER(M28),M28*INDEX(B4_FrontRef,1,2)/1000000000,M28)</f>
        <v>228.808271164193</v>
      </c>
      <c r="N30" s="72" t="n">
        <f aca="false">IF(ISNUMBER(N28),N28*INDEX(B4_FrontRef,1,2)/1000000000,N28)</f>
        <v>228.808271164193</v>
      </c>
      <c r="O30" s="72" t="n">
        <f aca="false">IF(ISNUMBER(O28),O28*INDEX(B4_FrontRef,1,2)/1000000000,O28)</f>
        <v>314.529969229019</v>
      </c>
      <c r="P30" s="72" t="n">
        <f aca="false">IF(ISNUMBER(P28),P28*INDEX(B4_FrontRef,1,2)/1000000000,P28)</f>
        <v>314.529969229019</v>
      </c>
      <c r="Q30" s="72" t="n">
        <f aca="false">IF(ISNUMBER(Q28),Q28*INDEX(B4_FrontRef,1,2)/1000000000,Q28)</f>
        <v>314.529969229019</v>
      </c>
    </row>
    <row r="31" customFormat="false" ht="15" hidden="false" customHeight="false" outlineLevel="0" collapsed="false">
      <c r="A31" s="5" t="s">
        <v>1798</v>
      </c>
      <c r="B31" s="59" t="s">
        <v>1796</v>
      </c>
      <c r="C31" s="72" t="n">
        <f aca="false">IF(ISNUMBER(INDEX(IF_TokGW_Sol,1,C$7)),INDEX(IF_TokGW_Sol,1,C$7)*INDEX(B4_EffRef,1,2)/1000000000,INDEX(IF_TokGW_Sol,1,C$7))</f>
        <v>34.5375083299961</v>
      </c>
      <c r="D31" s="72" t="n">
        <f aca="false">IF(ISNUMBER(INDEX(IF_TokGW_Sol,1,D$7)),INDEX(IF_TokGW_Sol,1,D$7)*INDEX(B4_EffRef,1,2)/1000000000,INDEX(IF_TokGW_Sol,1,D$7))</f>
        <v>34.5375083299961</v>
      </c>
      <c r="E31" s="72" t="n">
        <f aca="false">IF(ISNUMBER(INDEX(IF_TokGW_Sol,1,E$7)),INDEX(IF_TokGW_Sol,1,E$7)*INDEX(B4_EffRef,1,2)/1000000000,INDEX(IF_TokGW_Sol,1,E$7))</f>
        <v>34.5375083299961</v>
      </c>
      <c r="F31" s="72" t="n">
        <f aca="false">IF(ISNUMBER(INDEX(IF_TokGW_Sol,1,F$7)),INDEX(IF_TokGW_Sol,1,F$7)*INDEX(B4_EffRef,1,2)/1000000000,INDEX(IF_TokGW_Sol,1,F$7))</f>
        <v>167.34108902564</v>
      </c>
      <c r="G31" s="72" t="n">
        <f aca="false">IF(ISNUMBER(INDEX(IF_TokGW_Sol,1,G$7)),INDEX(IF_TokGW_Sol,1,G$7)*INDEX(B4_EffRef,1,2)/1000000000,INDEX(IF_TokGW_Sol,1,G$7))</f>
        <v>167.34108902564</v>
      </c>
      <c r="H31" s="72" t="n">
        <f aca="false">IF(ISNUMBER(INDEX(IF_TokGW_Sol,1,H$7)),INDEX(IF_TokGW_Sol,1,H$7)*INDEX(B4_EffRef,1,2)/1000000000,INDEX(IF_TokGW_Sol,1,H$7))</f>
        <v>167.34108902564</v>
      </c>
      <c r="I31" s="72" t="n">
        <f aca="false">IF(ISNUMBER(INDEX(IF_TokGW_Sol,1,I$7)),INDEX(IF_TokGW_Sol,1,I$7)*INDEX(B4_EffRef,1,2)/1000000000,INDEX(IF_TokGW_Sol,1,I$7))</f>
        <v>243.627879072198</v>
      </c>
      <c r="J31" s="72" t="n">
        <f aca="false">IF(ISNUMBER(INDEX(IF_TokGW_Sol,1,J$7)),INDEX(IF_TokGW_Sol,1,J$7)*INDEX(B4_EffRef,1,2)/1000000000,INDEX(IF_TokGW_Sol,1,J$7))</f>
        <v>243.627879072198</v>
      </c>
      <c r="K31" s="72" t="n">
        <f aca="false">IF(ISNUMBER(INDEX(IF_TokGW_Sol,1,K$7)),INDEX(IF_TokGW_Sol,1,K$7)*INDEX(B4_EffRef,1,2)/1000000000,INDEX(IF_TokGW_Sol,1,K$7))</f>
        <v>243.627879072198</v>
      </c>
      <c r="L31" s="72" t="n">
        <f aca="false">IF(ISNUMBER(INDEX(IF_TokGW_Sol,1,L$7)),INDEX(IF_TokGW_Sol,1,L$7)*INDEX(B4_EffRef,1,2)/1000000000,INDEX(IF_TokGW_Sol,1,L$7))</f>
        <v>381.347118606988</v>
      </c>
      <c r="M31" s="72" t="n">
        <f aca="false">IF(ISNUMBER(INDEX(IF_TokGW_Sol,1,M$7)),INDEX(IF_TokGW_Sol,1,M$7)*INDEX(B4_EffRef,1,2)/1000000000,INDEX(IF_TokGW_Sol,1,M$7))</f>
        <v>381.347118606988</v>
      </c>
      <c r="N31" s="72" t="n">
        <f aca="false">IF(ISNUMBER(INDEX(IF_TokGW_Sol,1,N$7)),INDEX(IF_TokGW_Sol,1,N$7)*INDEX(B4_EffRef,1,2)/1000000000,INDEX(IF_TokGW_Sol,1,N$7))</f>
        <v>381.347118606988</v>
      </c>
      <c r="O31" s="72" t="n">
        <f aca="false">IF(ISNUMBER(INDEX(IF_TokGW_Sol,1,O$7)),INDEX(IF_TokGW_Sol,1,O$7)*INDEX(B4_EffRef,1,2)/1000000000,INDEX(IF_TokGW_Sol,1,O$7))</f>
        <v>524.216615381698</v>
      </c>
      <c r="P31" s="72" t="n">
        <f aca="false">IF(ISNUMBER(INDEX(IF_TokGW_Sol,1,P$7)),INDEX(IF_TokGW_Sol,1,P$7)*INDEX(B4_EffRef,1,2)/1000000000,INDEX(IF_TokGW_Sol,1,P$7))</f>
        <v>524.216615381698</v>
      </c>
      <c r="Q31" s="72" t="n">
        <f aca="false">IF(ISNUMBER(INDEX(IF_TokGW_Sol,1,Q$7)),INDEX(IF_TokGW_Sol,1,Q$7)*INDEX(B4_EffRef,1,2)/1000000000,INDEX(IF_TokGW_Sol,1,Q$7))</f>
        <v>524.216615381698</v>
      </c>
    </row>
    <row r="32" customFormat="false" ht="15" hidden="false" customHeight="false" outlineLevel="0" collapsed="false">
      <c r="A32" s="5" t="s">
        <v>1799</v>
      </c>
      <c r="B32" s="59" t="s">
        <v>1796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1800</v>
      </c>
      <c r="B33" s="59" t="s">
        <v>97</v>
      </c>
      <c r="C33" s="86" t="n">
        <f aca="false">IF(ISNUMBER(C29),C29/C32,C29)</f>
        <v>3.05143236616261</v>
      </c>
      <c r="D33" s="86" t="n">
        <f aca="false">IF(ISNUMBER(D29),D29/D32,D29)</f>
        <v>2.13566098984309</v>
      </c>
      <c r="E33" s="86" t="n">
        <f aca="false">IF(ISNUMBER(E29),E29/E32,E29)</f>
        <v>1.24356645159865</v>
      </c>
      <c r="F33" s="86" t="n">
        <f aca="false">IF(ISNUMBER(F29),F29/F32,F29)</f>
        <v>15.1856387444678</v>
      </c>
      <c r="G33" s="86" t="n">
        <f aca="false">IF(ISNUMBER(G29),G29/G32,G29)</f>
        <v>11.3732182144886</v>
      </c>
      <c r="H33" s="86" t="n">
        <f aca="false">IF(ISNUMBER(H29),H29/H32,H29)</f>
        <v>7.01219600297177</v>
      </c>
      <c r="I33" s="86" t="n">
        <f aca="false">IF(ISNUMBER(I29),I29/I32,I29)</f>
        <v>17.3423273131417</v>
      </c>
      <c r="J33" s="86" t="n">
        <f aca="false">IF(ISNUMBER(J29),J29/J32,J29)</f>
        <v>13.427448900743</v>
      </c>
      <c r="K33" s="86" t="n">
        <f aca="false">IF(ISNUMBER(K29),K29/K32,K29)</f>
        <v>7.886675113986</v>
      </c>
      <c r="L33" s="86" t="n">
        <f aca="false">IF(ISNUMBER(L29),L29/L32,L29)</f>
        <v>24.0545017794198</v>
      </c>
      <c r="M33" s="86" t="n">
        <f aca="false">IF(ISNUMBER(M29),M29/M32,M29)</f>
        <v>18.7157019208829</v>
      </c>
      <c r="N33" s="86" t="n">
        <f aca="false">IF(ISNUMBER(N29),N29/N32,N29)</f>
        <v>11.5848611432148</v>
      </c>
      <c r="O33" s="86" t="n">
        <f aca="false">IF(ISNUMBER(O29),O29/O32,O29)</f>
        <v>31.1337369929545</v>
      </c>
      <c r="P33" s="86" t="n">
        <f aca="false">IF(ISNUMBER(P29),P29/P32,P29)</f>
        <v>20.4845695756648</v>
      </c>
      <c r="Q33" s="86" t="n">
        <f aca="false">IF(ISNUMBER(Q29),Q29/Q32,Q29)</f>
        <v>11.2210923988549</v>
      </c>
    </row>
    <row r="34" customFormat="false" ht="15" hidden="false" customHeight="false" outlineLevel="0" collapsed="false">
      <c r="A34" s="5" t="s">
        <v>1801</v>
      </c>
      <c r="B34" s="59" t="s">
        <v>97</v>
      </c>
      <c r="C34" s="84" t="n">
        <f aca="false">IF(ISNUMBER(C30),C30/C32,C30)</f>
        <v>3.05143236616261</v>
      </c>
      <c r="D34" s="84" t="n">
        <f aca="false">IF(ISNUMBER(D30),D30/D32,D30)</f>
        <v>2.13566098984309</v>
      </c>
      <c r="E34" s="84" t="n">
        <f aca="false">IF(ISNUMBER(E30),E30/E32,E30)</f>
        <v>1.24356645159865</v>
      </c>
      <c r="F34" s="84" t="n">
        <f aca="false">IF(ISNUMBER(F30),F30/F32,F30)</f>
        <v>15.1856387444678</v>
      </c>
      <c r="G34" s="84" t="n">
        <f aca="false">IF(ISNUMBER(G30),G30/G32,G30)</f>
        <v>11.3732182144886</v>
      </c>
      <c r="H34" s="84" t="n">
        <f aca="false">IF(ISNUMBER(H30),H30/H32,H30)</f>
        <v>7.01219600297177</v>
      </c>
      <c r="I34" s="84" t="n">
        <f aca="false">IF(ISNUMBER(I30),I30/I32,I30)</f>
        <v>17.3423273131417</v>
      </c>
      <c r="J34" s="84" t="n">
        <f aca="false">IF(ISNUMBER(J30),J30/J32,J30)</f>
        <v>13.427448900743</v>
      </c>
      <c r="K34" s="84" t="n">
        <f aca="false">IF(ISNUMBER(K30),K30/K32,K30)</f>
        <v>7.886675113986</v>
      </c>
      <c r="L34" s="84" t="n">
        <f aca="false">IF(ISNUMBER(L30),L30/L32,L30)</f>
        <v>24.0545017794198</v>
      </c>
      <c r="M34" s="84" t="n">
        <f aca="false">IF(ISNUMBER(M30),M30/M32,M30)</f>
        <v>18.7157019208829</v>
      </c>
      <c r="N34" s="84" t="n">
        <f aca="false">IF(ISNUMBER(N30),N30/N32,N30)</f>
        <v>11.5848611432148</v>
      </c>
      <c r="O34" s="84" t="n">
        <f aca="false">IF(ISNUMBER(O30),O30/O32,O30)</f>
        <v>31.1337369929545</v>
      </c>
      <c r="P34" s="84" t="n">
        <f aca="false">IF(ISNUMBER(P30),P30/P32,P30)</f>
        <v>20.4845695756648</v>
      </c>
      <c r="Q34" s="84" t="n">
        <f aca="false">IF(ISNUMBER(Q30),Q30/Q32,Q30)</f>
        <v>11.2210923988549</v>
      </c>
    </row>
    <row r="35" customFormat="false" ht="15" hidden="false" customHeight="false" outlineLevel="0" collapsed="false">
      <c r="A35" s="5" t="s">
        <v>1802</v>
      </c>
      <c r="B35" s="59" t="s">
        <v>795</v>
      </c>
      <c r="C35" s="155" t="n">
        <f aca="false">Amortize!C23</f>
        <v>0.417331151374463</v>
      </c>
      <c r="D35" s="155" t="n">
        <f aca="false">Amortize!D23</f>
        <v>0.596276148782533</v>
      </c>
      <c r="E35" s="155" t="n">
        <f aca="false">Amortize!E23</f>
        <v>1.02401443827026</v>
      </c>
      <c r="F35" s="155" t="n">
        <f aca="false">Amortize!F23</f>
        <v>0.0907896070390855</v>
      </c>
      <c r="G35" s="155" t="n">
        <f aca="false">Amortize!G23</f>
        <v>0.121218072413277</v>
      </c>
      <c r="H35" s="155" t="n">
        <f aca="false">Amortize!H23</f>
        <v>0.196596411886232</v>
      </c>
      <c r="I35" s="155" t="n">
        <f aca="false">Amortize!I23</f>
        <v>0.0795068498732029</v>
      </c>
      <c r="J35" s="155" t="n">
        <f aca="false">Amortize!J23</f>
        <v>0.102683217394179</v>
      </c>
      <c r="K35" s="155" t="n">
        <f aca="false">Amortize!K23</f>
        <v>0.17481238798153</v>
      </c>
      <c r="L35" s="155" t="n">
        <f aca="false">Amortize!L23</f>
        <v>0.0562061280073716</v>
      </c>
      <c r="M35" s="155" t="n">
        <f aca="false">Amortize!M23</f>
        <v>0.0722349806053506</v>
      </c>
      <c r="N35" s="155" t="n">
        <f aca="false">Amortize!N23</f>
        <v>0.116688389227706</v>
      </c>
      <c r="O35" s="155" t="n">
        <f aca="false">Amortize!O23</f>
        <v>0.0432131923940377</v>
      </c>
      <c r="P35" s="155" t="n">
        <f aca="false">Amortize!P23</f>
        <v>0.0656701385291775</v>
      </c>
      <c r="Q35" s="155" t="n">
        <f aca="false">Amortize!Q23</f>
        <v>0.11987087556573</v>
      </c>
    </row>
    <row r="36" customFormat="false" ht="15" hidden="false" customHeight="false" outlineLevel="0" collapsed="false">
      <c r="A36" s="5" t="s">
        <v>1814</v>
      </c>
      <c r="B36" s="59" t="s">
        <v>795</v>
      </c>
      <c r="C36" s="156" t="n">
        <f aca="false">IF(AND(ISNUMBER(C35),ISNUMBER(Amortize!C22)),C35+Amortize!C22,"SLO 不可達")</f>
        <v>0.588341662425336</v>
      </c>
      <c r="D36" s="156" t="n">
        <f aca="false">IF(AND(ISNUMBER(D35),ISNUMBER(Amortize!D22)),D35+Amortize!D22,"SLO 不可達")</f>
        <v>0.840615962477861</v>
      </c>
      <c r="E36" s="156" t="n">
        <f aca="false">IF(AND(ISNUMBER(E35),ISNUMBER(Amortize!E22)),E35+Amortize!E22,"SLO 不可達")</f>
        <v>1.44363576827946</v>
      </c>
      <c r="F36" s="156" t="n">
        <f aca="false">IF(AND(ISNUMBER(F35),ISNUMBER(Amortize!F22)),F35+Amortize!F22,"SLO 不可達")</f>
        <v>0.10677898714576</v>
      </c>
      <c r="G36" s="156" t="n">
        <f aca="false">IF(AND(ISNUMBER(G35),ISNUMBER(Amortize!G22)),G35+Amortize!G22,"SLO 不可達")</f>
        <v>0.142567258322558</v>
      </c>
      <c r="H36" s="156" t="n">
        <f aca="false">IF(AND(ISNUMBER(H35),ISNUMBER(Amortize!H22)),H35+Amortize!H22,"SLO 不可達")</f>
        <v>0.231223075194707</v>
      </c>
      <c r="I36" s="156" t="n">
        <f aca="false">IF(AND(ISNUMBER(I35),ISNUMBER(Amortize!I22)),I35+Amortize!I22,"SLO 不可達")</f>
        <v>0.0938071107274286</v>
      </c>
      <c r="J36" s="156" t="n">
        <f aca="false">IF(AND(ISNUMBER(J35),ISNUMBER(Amortize!J22)),J35+Amortize!J22,"SLO 不可達")</f>
        <v>0.12115283185561</v>
      </c>
      <c r="K36" s="156" t="n">
        <f aca="false">IF(AND(ISNUMBER(K35),ISNUMBER(Amortize!K22)),K35+Amortize!K22,"SLO 不可達")</f>
        <v>0.206257807098325</v>
      </c>
      <c r="L36" s="156" t="n">
        <f aca="false">IF(AND(ISNUMBER(L35),ISNUMBER(Amortize!L22)),L35+Amortize!L22,"SLO 不可達")</f>
        <v>0.0616679702231791</v>
      </c>
      <c r="M36" s="156" t="n">
        <f aca="false">IF(AND(ISNUMBER(M35),ISNUMBER(Amortize!M22)),M35+Amortize!M22,"SLO 不可達")</f>
        <v>0.0792548558873168</v>
      </c>
      <c r="N36" s="156" t="n">
        <f aca="false">IF(AND(ISNUMBER(N35),ISNUMBER(Amortize!N22)),N35+Amortize!N22,"SLO 不可達")</f>
        <v>0.128029215127549</v>
      </c>
      <c r="O36" s="156" t="n">
        <f aca="false">IF(AND(ISNUMBER(O35),ISNUMBER(Amortize!O22)),O35+Amortize!O22,"SLO 不可達")</f>
        <v>0.0459652410730628</v>
      </c>
      <c r="P36" s="156" t="n">
        <f aca="false">IF(AND(ISNUMBER(P35),ISNUMBER(Amortize!P22)),P35+Amortize!P22,"SLO 不可達")</f>
        <v>0.069852875171414</v>
      </c>
      <c r="Q36" s="156" t="n">
        <f aca="false">IF(AND(ISNUMBER(Q35),ISNUMBER(Amortize!Q22)),Q35+Amortize!Q22,"SLO 不可達")</f>
        <v>0.127506634787651</v>
      </c>
    </row>
    <row r="37" customFormat="false" ht="15" hidden="false" customHeight="false" outlineLevel="0" collapsed="false">
      <c r="A37" s="5" t="s">
        <v>1804</v>
      </c>
      <c r="B37" s="59" t="s">
        <v>795</v>
      </c>
      <c r="C37" s="155" t="n">
        <f aca="false">IF(AND(ISNUMBER(C35),ISNUMBER(Amortize!C24)),C35+Amortize!C24,"SLO 不可達")</f>
        <v>1.01788085701089</v>
      </c>
      <c r="D37" s="155" t="n">
        <f aca="false">IF(AND(ISNUMBER(D35),ISNUMBER(Amortize!D24)),D35+Amortize!D24,"SLO 不可達")</f>
        <v>1.4543320702013</v>
      </c>
      <c r="E37" s="155" t="n">
        <f aca="false">IF(AND(ISNUMBER(E35),ISNUMBER(Amortize!E24)),E35+Amortize!E24,"SLO 不可達")</f>
        <v>2.49759619090307</v>
      </c>
      <c r="F37" s="155" t="n">
        <f aca="false">IF(AND(ISNUMBER(F35),ISNUMBER(Amortize!F24)),F35+Amortize!F24,"SLO 不可達")</f>
        <v>0.221438065948989</v>
      </c>
      <c r="G37" s="155" t="n">
        <f aca="false">IF(AND(ISNUMBER(G35),ISNUMBER(Amortize!G24)),G35+Amortize!G24,"SLO 不可達")</f>
        <v>0.295653835154334</v>
      </c>
      <c r="H37" s="155" t="n">
        <f aca="false">IF(AND(ISNUMBER(H35),ISNUMBER(Amortize!H24)),H35+Amortize!H24,"SLO 不可達")</f>
        <v>0.479503443624956</v>
      </c>
      <c r="I37" s="155" t="n">
        <f aca="false">IF(AND(ISNUMBER(I35),ISNUMBER(Amortize!I24)),I35+Amortize!I24,"SLO 不可達")</f>
        <v>0.193919146032202</v>
      </c>
      <c r="J37" s="155" t="n">
        <f aca="false">IF(AND(ISNUMBER(J35),ISNUMBER(Amortize!J24)),J35+Amortize!J24,"SLO 不可達")</f>
        <v>0.250446871693118</v>
      </c>
      <c r="K37" s="155" t="n">
        <f aca="false">IF(AND(ISNUMBER(K35),ISNUMBER(Amortize!K24)),K35+Amortize!K24,"SLO 不可達")</f>
        <v>0.426371678003733</v>
      </c>
      <c r="L37" s="155" t="n">
        <f aca="false">IF(AND(ISNUMBER(L35),ISNUMBER(Amortize!L24)),L35+Amortize!L24,"SLO 不可達")</f>
        <v>0.13708811709115</v>
      </c>
      <c r="M37" s="155" t="n">
        <f aca="false">IF(AND(ISNUMBER(M35),ISNUMBER(Amortize!M24)),M35+Amortize!M24,"SLO 不可達")</f>
        <v>0.176182879525245</v>
      </c>
      <c r="N37" s="155" t="n">
        <f aca="false">IF(AND(ISNUMBER(N35),ISNUMBER(Amortize!N24)),N35+Amortize!N24,"SLO 不可達")</f>
        <v>0.28460582738465</v>
      </c>
      <c r="O37" s="155" t="n">
        <f aca="false">IF(AND(ISNUMBER(O35),ISNUMBER(Amortize!O24)),O35+Amortize!O24,"SLO 不可達")</f>
        <v>0.10539803022936</v>
      </c>
      <c r="P37" s="155" t="n">
        <f aca="false">IF(AND(ISNUMBER(P35),ISNUMBER(Amortize!P24)),P35+Amortize!P24,"SLO 不可達")</f>
        <v>0.16017106958336</v>
      </c>
      <c r="Q37" s="155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1815</v>
      </c>
      <c r="B38" s="59" t="s">
        <v>795</v>
      </c>
      <c r="C38" s="156" t="n">
        <f aca="false">IF(AND(ISNUMBER(C35),ISNUMBER(Amortize!C45)),C35+Amortize!C45,"SLO 不可達")</f>
        <v>0.790722369773913</v>
      </c>
      <c r="D38" s="156" t="n">
        <f aca="false">IF(AND(ISNUMBER(D35),ISNUMBER(Amortize!D45)),D35+Amortize!D45,"SLO 不可達")</f>
        <v>1.12976577147253</v>
      </c>
      <c r="E38" s="156" t="n">
        <f aca="false">IF(AND(ISNUMBER(E35),ISNUMBER(Amortize!E45)),E35+Amortize!E45,"SLO 不可達")</f>
        <v>1.94019270044646</v>
      </c>
      <c r="F38" s="156" t="n">
        <f aca="false">IF(AND(ISNUMBER(F35),ISNUMBER(Amortize!F45)),F35+Amortize!F45,"SLO 不可達")</f>
        <v>0.166552809078795</v>
      </c>
      <c r="G38" s="156" t="n">
        <f aca="false">IF(AND(ISNUMBER(G35),ISNUMBER(Amortize!G45)),G35+Amortize!G45,"SLO 不可達")</f>
        <v>0.22236897769775</v>
      </c>
      <c r="H38" s="156" t="n">
        <f aca="false">IF(AND(ISNUMBER(H35),ISNUMBER(Amortize!H45)),H35+Amortize!H45,"SLO 不可達")</f>
        <v>0.360638524140531</v>
      </c>
      <c r="I38" s="156" t="n">
        <f aca="false">IF(AND(ISNUMBER(I35),ISNUMBER(Amortize!I45)),I35+Amortize!I45,"SLO 不可達")</f>
        <v>0.153075259858597</v>
      </c>
      <c r="J38" s="156" t="n">
        <f aca="false">IF(AND(ISNUMBER(J35),ISNUMBER(Amortize!J45)),J35+Amortize!J45,"SLO 不可達")</f>
        <v>0.197693049109943</v>
      </c>
      <c r="K38" s="156" t="n">
        <f aca="false">IF(AND(ISNUMBER(K35),ISNUMBER(Amortize!K45)),K35+Amortize!K45,"SLO 不可達")</f>
        <v>0.336551915980613</v>
      </c>
      <c r="L38" s="156" t="n">
        <f aca="false">IF(AND(ISNUMBER(L35),ISNUMBER(Amortize!L45)),L35+Amortize!L45,"SLO 不可達")</f>
        <v>0.10088520995322</v>
      </c>
      <c r="M38" s="156" t="n">
        <f aca="false">IF(AND(ISNUMBER(M35),ISNUMBER(Amortize!M45)),M35+Amortize!M45,"SLO 不可達")</f>
        <v>0.12965182956771</v>
      </c>
      <c r="N38" s="156" t="n">
        <f aca="false">IF(AND(ISNUMBER(N35),ISNUMBER(Amortize!N45)),N35+Amortize!N45,"SLO 不可達")</f>
        <v>0.209431357677415</v>
      </c>
      <c r="O38" s="156" t="n">
        <f aca="false">IF(AND(ISNUMBER(O35),ISNUMBER(Amortize!O45)),O35+Amortize!O45,"SLO 不可達")</f>
        <v>0.076217459555783</v>
      </c>
      <c r="P38" s="156" t="n">
        <f aca="false">IF(AND(ISNUMBER(P35),ISNUMBER(Amortize!P45)),P35+Amortize!P45,"SLO 不可達")</f>
        <v>0.115819187486682</v>
      </c>
      <c r="Q38" s="156" t="n">
        <f aca="false">IF(AND(ISNUMBER(Q35),ISNUMBER(Amortize!Q45)),Q35+Amortize!Q45,"SLO 不可達")</f>
        <v>0.211399540614799</v>
      </c>
    </row>
    <row r="39" customFormat="false" ht="29.85" hidden="false" customHeight="false" outlineLevel="0" collapsed="false">
      <c r="A39" s="5" t="s">
        <v>1806</v>
      </c>
      <c r="B39" s="59" t="s">
        <v>93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1807</v>
      </c>
      <c r="B40" s="59" t="s">
        <v>93</v>
      </c>
      <c r="C40" s="83" t="n">
        <f aca="false">IF(ISNUMBER(C36),1-C36/INDEX(B4_EffRef,1,2),"SLO 不可達")</f>
        <v>0.633913512041757</v>
      </c>
      <c r="D40" s="83" t="n">
        <f aca="false">IF(ISNUMBER(D36),1-D36/INDEX(B4_EffRef,1,2),"SLO 不可達")</f>
        <v>0.476939735736951</v>
      </c>
      <c r="E40" s="83" t="n">
        <f aca="false">IF(ISNUMBER(E36),1-E36/INDEX(B4_EffRef,1,2),"SLO 不可達")</f>
        <v>0.101720000379211</v>
      </c>
      <c r="F40" s="83" t="n">
        <f aca="false">IF(ISNUMBER(F36),1-F36/INDEX(B4_EffRef,1,2),"SLO 不可達")</f>
        <v>0.933558428905432</v>
      </c>
      <c r="G40" s="83" t="n">
        <f aca="false">IF(ISNUMBER(G36),1-G36/INDEX(B4_EffRef,1,2),"SLO 不可達")</f>
        <v>0.911289731408807</v>
      </c>
      <c r="H40" s="83" t="n">
        <f aca="false">IF(ISNUMBER(H36),1-H36/INDEX(B4_EffRef,1,2),"SLO 不可達")</f>
        <v>0.856125022348426</v>
      </c>
      <c r="I40" s="83" t="n">
        <f aca="false">IF(ISNUMBER(I36),1-I36/INDEX(B4_EffRef,1,2),"SLO 不可達")</f>
        <v>0.941629978114847</v>
      </c>
      <c r="J40" s="83" t="n">
        <f aca="false">IF(ISNUMBER(J36),1-J36/INDEX(B4_EffRef,1,2),"SLO 不可達")</f>
        <v>0.924614526638517</v>
      </c>
      <c r="K40" s="83" t="n">
        <f aca="false">IF(ISNUMBER(K36),1-K36/INDEX(B4_EffRef,1,2),"SLO 不可達")</f>
        <v>0.871659273791142</v>
      </c>
      <c r="L40" s="83" t="n">
        <f aca="false">IF(ISNUMBER(L36),1-L36/INDEX(B4_EffRef,1,2),"SLO 不可達")</f>
        <v>0.961628060563564</v>
      </c>
      <c r="M40" s="83" t="n">
        <f aca="false">IF(ISNUMBER(M36),1-M36/INDEX(B4_EffRef,1,2),"SLO 不可達")</f>
        <v>0.950684893322328</v>
      </c>
      <c r="N40" s="83" t="n">
        <f aca="false">IF(ISNUMBER(N36),1-N36/INDEX(B4_EffRef,1,2),"SLO 不可達")</f>
        <v>0.920335803640214</v>
      </c>
      <c r="O40" s="83" t="n">
        <f aca="false">IF(ISNUMBER(O36),1-O36/INDEX(B4_EffRef,1,2),"SLO 不可達")</f>
        <v>0.971398840593365</v>
      </c>
      <c r="P40" s="83" t="n">
        <f aca="false">IF(ISNUMBER(P36),1-P36/INDEX(B4_EffRef,1,2),"SLO 不可達")</f>
        <v>0.956535130216902</v>
      </c>
      <c r="Q40" s="83" t="n">
        <f aca="false">IF(ISNUMBER(Q36),1-Q36/INDEX(B4_EffRef,1,2),"SLO 不可達")</f>
        <v>0.920660971163658</v>
      </c>
    </row>
    <row r="41" customFormat="false" ht="15" hidden="false" customHeight="false" outlineLevel="0" collapsed="false">
      <c r="A41" s="5" t="s">
        <v>1808</v>
      </c>
      <c r="B41" s="59" t="s">
        <v>93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1809</v>
      </c>
      <c r="B42" s="59" t="s">
        <v>93</v>
      </c>
      <c r="C42" s="116" t="n">
        <f aca="false">IF(ISNUMBER(C38),1-C38/INDEX(B4_EffRef,1,2),"SLO 不可達")</f>
        <v>0.5079852511086</v>
      </c>
      <c r="D42" s="116" t="n">
        <f aca="false">IF(ISNUMBER(D38),1-D38/INDEX(B4_EffRef,1,2),"SLO 不可達")</f>
        <v>0.297020745073783</v>
      </c>
      <c r="E42" s="116" t="n">
        <f aca="false">IF(ISNUMBER(E38),1-E38/INDEX(B4_EffRef,1,2),"SLO 不可達")</f>
        <v>-0.207254860620721</v>
      </c>
      <c r="F42" s="116" t="n">
        <f aca="false">IF(ISNUMBER(F38),1-F38/INDEX(B4_EffRef,1,2),"SLO 不可達")</f>
        <v>0.896365093908383</v>
      </c>
      <c r="G42" s="116" t="n">
        <f aca="false">IF(ISNUMBER(G38),1-G38/INDEX(B4_EffRef,1,2),"SLO 不可達")</f>
        <v>0.861634347394929</v>
      </c>
      <c r="H42" s="116" t="n">
        <f aca="false">IF(ISNUMBER(H38),1-H38/INDEX(B4_EffRef,1,2),"SLO 不可達")</f>
        <v>0.775598263463442</v>
      </c>
      <c r="I42" s="116" t="n">
        <f aca="false">IF(ISNUMBER(I38),1-I38/INDEX(B4_EffRef,1,2),"SLO 不可達")</f>
        <v>0.904751290187543</v>
      </c>
      <c r="J42" s="116" t="n">
        <f aca="false">IF(ISNUMBER(J38),1-J38/INDEX(B4_EffRef,1,2),"SLO 不可達")</f>
        <v>0.876988561809355</v>
      </c>
      <c r="K42" s="116" t="n">
        <f aca="false">IF(ISNUMBER(K38),1-K38/INDEX(B4_EffRef,1,2),"SLO 不可達")</f>
        <v>0.790585782368258</v>
      </c>
      <c r="L42" s="116" t="n">
        <f aca="false">IF(ISNUMBER(L38),1-L38/INDEX(B4_EffRef,1,2),"SLO 不可達")</f>
        <v>0.937225740488179</v>
      </c>
      <c r="M42" s="116" t="n">
        <f aca="false">IF(ISNUMBER(M38),1-M38/INDEX(B4_EffRef,1,2),"SLO 不可達")</f>
        <v>0.919326156933809</v>
      </c>
      <c r="N42" s="116" t="n">
        <f aca="false">IF(ISNUMBER(N38),1-N38/INDEX(B4_EffRef,1,2),"SLO 不可達")</f>
        <v>0.86968458109121</v>
      </c>
      <c r="O42" s="116" t="n">
        <f aca="false">IF(ISNUMBER(O38),1-O38/INDEX(B4_EffRef,1,2),"SLO 不可達")</f>
        <v>0.952574866150301</v>
      </c>
      <c r="P42" s="116" t="n">
        <f aca="false">IF(ISNUMBER(P38),1-P38/INDEX(B4_EffRef,1,2),"SLO 不可達")</f>
        <v>0.927933304246395</v>
      </c>
      <c r="Q42" s="116" t="n">
        <f aca="false">IF(ISNUMBER(Q38),1-Q38/INDEX(B4_EffRef,1,2),"SLO 不可達")</f>
        <v>0.868459909739133</v>
      </c>
    </row>
    <row r="43" customFormat="false" ht="15" hidden="false" customHeight="false" outlineLevel="0" collapsed="false">
      <c r="A43" s="5" t="s">
        <v>1810</v>
      </c>
      <c r="B43" s="59" t="s">
        <v>93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1816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1794</v>
      </c>
      <c r="B46" s="59" t="s">
        <v>787</v>
      </c>
      <c r="C46" s="65" t="n">
        <f aca="false">IF(ISNUMBER(INDEX(IF_TokGW_Astra,1,C$7)),INDEX(IF_TokGW_Astra,1,C$7)*IF_Util,INDEX(IF_TokGW_Astra,1,C$7))</f>
        <v>2325910977.56283</v>
      </c>
      <c r="D46" s="65" t="n">
        <f aca="false">IF(ISNUMBER(INDEX(IF_TokGW_Astra,1,D$7)),INDEX(IF_TokGW_Astra,1,D$7)*IF_Util,INDEX(IF_TokGW_Astra,1,D$7))</f>
        <v>2325910977.56283</v>
      </c>
      <c r="E46" s="65" t="n">
        <f aca="false">IF(ISNUMBER(INDEX(IF_TokGW_Astra,1,E$7)),INDEX(IF_TokGW_Astra,1,E$7)*IF_Util,INDEX(IF_TokGW_Astra,1,E$7))</f>
        <v>2325910977.56283</v>
      </c>
      <c r="F46" s="65" t="n">
        <f aca="false">IF(ISNUMBER(INDEX(IF_TokGW_Astra,1,F$7)),INDEX(IF_TokGW_Astra,1,F$7)*IF_Util,INDEX(IF_TokGW_Astra,1,F$7))</f>
        <v>12025103198.548</v>
      </c>
      <c r="G46" s="65" t="n">
        <f aca="false">IF(ISNUMBER(INDEX(IF_TokGW_Astra,1,G$7)),INDEX(IF_TokGW_Astra,1,G$7)*IF_Util,INDEX(IF_TokGW_Astra,1,G$7))</f>
        <v>12025103198.548</v>
      </c>
      <c r="H46" s="65" t="n">
        <f aca="false">IF(ISNUMBER(INDEX(IF_TokGW_Astra,1,H$7)),INDEX(IF_TokGW_Astra,1,H$7)*IF_Util,INDEX(IF_TokGW_Astra,1,H$7))</f>
        <v>12025103198.548</v>
      </c>
      <c r="I46" s="65" t="n">
        <f aca="false">IF(ISNUMBER(INDEX(IF_TokGW_Astra,1,I$7)),INDEX(IF_TokGW_Astra,1,I$7)*IF_Util,INDEX(IF_TokGW_Astra,1,I$7))</f>
        <v>14540542517.2698</v>
      </c>
      <c r="J46" s="65" t="n">
        <f aca="false">IF(ISNUMBER(INDEX(IF_TokGW_Astra,1,J$7)),INDEX(IF_TokGW_Astra,1,J$7)*IF_Util,INDEX(IF_TokGW_Astra,1,J$7))</f>
        <v>14540542517.2698</v>
      </c>
      <c r="K46" s="65" t="n">
        <f aca="false">IF(ISNUMBER(INDEX(IF_TokGW_Astra,1,K$7)),INDEX(IF_TokGW_Astra,1,K$7)*IF_Util,INDEX(IF_TokGW_Astra,1,K$7))</f>
        <v>14540542517.2698</v>
      </c>
      <c r="L46" s="65" t="n">
        <f aca="false">IF(ISNUMBER(INDEX(IF_TokGW_Astra,1,L$7)),INDEX(IF_TokGW_Astra,1,L$7)*IF_Util,INDEX(IF_TokGW_Astra,1,L$7))</f>
        <v>30700734330.9357</v>
      </c>
      <c r="M46" s="65" t="n">
        <f aca="false">IF(ISNUMBER(INDEX(IF_TokGW_Astra,1,M$7)),INDEX(IF_TokGW_Astra,1,M$7)*IF_Util,INDEX(IF_TokGW_Astra,1,M$7))</f>
        <v>30700734330.9357</v>
      </c>
      <c r="N46" s="65" t="n">
        <f aca="false">IF(ISNUMBER(INDEX(IF_TokGW_Astra,1,N$7)),INDEX(IF_TokGW_Astra,1,N$7)*IF_Util,INDEX(IF_TokGW_Astra,1,N$7))</f>
        <v>30700734330.9357</v>
      </c>
      <c r="O46" s="65" t="n">
        <f aca="false">IF(ISNUMBER(INDEX(IF_TokGW_Astra,1,O$7)),INDEX(IF_TokGW_Astra,1,O$7)*IF_Util,INDEX(IF_TokGW_Astra,1,O$7))</f>
        <v>44640573595.0624</v>
      </c>
      <c r="P46" s="65" t="n">
        <f aca="false">IF(ISNUMBER(INDEX(IF_TokGW_Astra,1,P$7)),INDEX(IF_TokGW_Astra,1,P$7)*IF_Util,INDEX(IF_TokGW_Astra,1,P$7))</f>
        <v>44640573595.0624</v>
      </c>
      <c r="Q46" s="65" t="n">
        <f aca="false">IF(ISNUMBER(INDEX(IF_TokGW_Astra,1,Q$7)),INDEX(IF_TokGW_Astra,1,Q$7)*IF_Util,INDEX(IF_TokGW_Astra,1,Q$7))</f>
        <v>44640573595.0624</v>
      </c>
    </row>
    <row r="47" customFormat="false" ht="15" hidden="false" customHeight="false" outlineLevel="0" collapsed="false">
      <c r="A47" s="5" t="s">
        <v>1817</v>
      </c>
      <c r="B47" s="59" t="s">
        <v>1796</v>
      </c>
      <c r="C47" s="110" t="n">
        <f aca="false">IF(ISNUMBER(C46),C46*INDEX(B4_EffRef,1,3)/1000000000,C46)</f>
        <v>18.6899868774826</v>
      </c>
      <c r="D47" s="110" t="n">
        <f aca="false">IF(ISNUMBER(D46),D46*INDEX(B4_EffRef,1,3)/1000000000,D46)</f>
        <v>18.6899868774826</v>
      </c>
      <c r="E47" s="110" t="n">
        <f aca="false">IF(ISNUMBER(E46),E46*INDEX(B4_EffRef,1,3)/1000000000,E46)</f>
        <v>18.6899868774826</v>
      </c>
      <c r="F47" s="110" t="n">
        <f aca="false">IF(ISNUMBER(F46),F46*INDEX(B4_EffRef,1,3)/1000000000,F46)</f>
        <v>96.6283848132214</v>
      </c>
      <c r="G47" s="110" t="n">
        <f aca="false">IF(ISNUMBER(G46),G46*INDEX(B4_EffRef,1,3)/1000000000,G46)</f>
        <v>96.6283848132214</v>
      </c>
      <c r="H47" s="110" t="n">
        <f aca="false">IF(ISNUMBER(H46),H46*INDEX(B4_EffRef,1,3)/1000000000,H46)</f>
        <v>96.6283848132214</v>
      </c>
      <c r="I47" s="110" t="n">
        <f aca="false">IF(ISNUMBER(I46),I46*INDEX(B4_EffRef,1,3)/1000000000,I46)</f>
        <v>116.841337205439</v>
      </c>
      <c r="J47" s="110" t="n">
        <f aca="false">IF(ISNUMBER(J46),J46*INDEX(B4_EffRef,1,3)/1000000000,J46)</f>
        <v>116.841337205439</v>
      </c>
      <c r="K47" s="110" t="n">
        <f aca="false">IF(ISNUMBER(K46),K46*INDEX(B4_EffRef,1,3)/1000000000,K46)</f>
        <v>116.841337205439</v>
      </c>
      <c r="L47" s="110" t="n">
        <f aca="false">IF(ISNUMBER(L46),L46*INDEX(B4_EffRef,1,3)/1000000000,L46)</f>
        <v>246.697456312585</v>
      </c>
      <c r="M47" s="110" t="n">
        <f aca="false">IF(ISNUMBER(M46),M46*INDEX(B4_EffRef,1,3)/1000000000,M46)</f>
        <v>246.697456312585</v>
      </c>
      <c r="N47" s="110" t="n">
        <f aca="false">IF(ISNUMBER(N46),N46*INDEX(B4_EffRef,1,3)/1000000000,N46)</f>
        <v>246.697456312585</v>
      </c>
      <c r="O47" s="110" t="n">
        <f aca="false">IF(ISNUMBER(O46),O46*INDEX(B4_EffRef,1,3)/1000000000,O46)</f>
        <v>358.71180915499</v>
      </c>
      <c r="P47" s="110" t="n">
        <f aca="false">IF(ISNUMBER(P46),P46*INDEX(B4_EffRef,1,3)/1000000000,P46)</f>
        <v>358.71180915499</v>
      </c>
      <c r="Q47" s="110" t="n">
        <f aca="false">IF(ISNUMBER(Q46),Q46*INDEX(B4_EffRef,1,3)/1000000000,Q46)</f>
        <v>358.71180915499</v>
      </c>
    </row>
    <row r="48" customFormat="false" ht="15" hidden="false" customHeight="false" outlineLevel="0" collapsed="false">
      <c r="A48" s="5" t="s">
        <v>1818</v>
      </c>
      <c r="B48" s="59" t="s">
        <v>1796</v>
      </c>
      <c r="C48" s="72" t="n">
        <f aca="false">IF(ISNUMBER(C46),C46*INDEX(B4_FrontRef,1,3)/1000000000,C46)</f>
        <v>18.0077196573975</v>
      </c>
      <c r="D48" s="72" t="n">
        <f aca="false">IF(ISNUMBER(D46),D46*INDEX(B4_FrontRef,1,3)/1000000000,D46)</f>
        <v>18.0077196573975</v>
      </c>
      <c r="E48" s="72" t="n">
        <f aca="false">IF(ISNUMBER(E46),E46*INDEX(B4_FrontRef,1,3)/1000000000,E46)</f>
        <v>18.0077196573975</v>
      </c>
      <c r="F48" s="72" t="n">
        <f aca="false">IF(ISNUMBER(F46),F46*INDEX(B4_FrontRef,1,3)/1000000000,F46)</f>
        <v>93.101021208314</v>
      </c>
      <c r="G48" s="72" t="n">
        <f aca="false">IF(ISNUMBER(G46),G46*INDEX(B4_FrontRef,1,3)/1000000000,G46)</f>
        <v>93.101021208314</v>
      </c>
      <c r="H48" s="72" t="n">
        <f aca="false">IF(ISNUMBER(H46),H46*INDEX(B4_FrontRef,1,3)/1000000000,H46)</f>
        <v>93.101021208314</v>
      </c>
      <c r="I48" s="72" t="n">
        <f aca="false">IF(ISNUMBER(I46),I46*INDEX(B4_FrontRef,1,3)/1000000000,I46)</f>
        <v>112.576111400374</v>
      </c>
      <c r="J48" s="72" t="n">
        <f aca="false">IF(ISNUMBER(J46),J46*INDEX(B4_FrontRef,1,3)/1000000000,J46)</f>
        <v>112.576111400374</v>
      </c>
      <c r="K48" s="72" t="n">
        <f aca="false">IF(ISNUMBER(K46),K46*INDEX(B4_FrontRef,1,3)/1000000000,K46)</f>
        <v>112.576111400374</v>
      </c>
      <c r="L48" s="72" t="n">
        <f aca="false">IF(ISNUMBER(L46),L46*INDEX(B4_FrontRef,1,3)/1000000000,L46)</f>
        <v>237.691907575511</v>
      </c>
      <c r="M48" s="72" t="n">
        <f aca="false">IF(ISNUMBER(M46),M46*INDEX(B4_FrontRef,1,3)/1000000000,M46)</f>
        <v>237.691907575511</v>
      </c>
      <c r="N48" s="72" t="n">
        <f aca="false">IF(ISNUMBER(N46),N46*INDEX(B4_FrontRef,1,3)/1000000000,N46)</f>
        <v>237.691907575511</v>
      </c>
      <c r="O48" s="72" t="n">
        <f aca="false">IF(ISNUMBER(O46),O46*INDEX(B4_FrontRef,1,3)/1000000000,O46)</f>
        <v>345.617240900439</v>
      </c>
      <c r="P48" s="72" t="n">
        <f aca="false">IF(ISNUMBER(P46),P46*INDEX(B4_FrontRef,1,3)/1000000000,P46)</f>
        <v>345.617240900439</v>
      </c>
      <c r="Q48" s="72" t="n">
        <f aca="false">IF(ISNUMBER(Q46),Q46*INDEX(B4_FrontRef,1,3)/1000000000,Q46)</f>
        <v>345.617240900439</v>
      </c>
    </row>
    <row r="49" customFormat="false" ht="15" hidden="false" customHeight="false" outlineLevel="0" collapsed="false">
      <c r="A49" s="5" t="s">
        <v>1798</v>
      </c>
      <c r="B49" s="59" t="s">
        <v>1796</v>
      </c>
      <c r="C49" s="72" t="n">
        <f aca="false">IF(ISNUMBER(INDEX(IF_TokGW_Astra,1,C$7)),INDEX(IF_TokGW_Astra,1,C$7)*INDEX(B4_EffRef,1,3)/1000000000,INDEX(IF_TokGW_Astra,1,C$7))</f>
        <v>31.1499781291377</v>
      </c>
      <c r="D49" s="72" t="n">
        <f aca="false">IF(ISNUMBER(INDEX(IF_TokGW_Astra,1,D$7)),INDEX(IF_TokGW_Astra,1,D$7)*INDEX(B4_EffRef,1,3)/1000000000,INDEX(IF_TokGW_Astra,1,D$7))</f>
        <v>31.1499781291377</v>
      </c>
      <c r="E49" s="72" t="n">
        <f aca="false">IF(ISNUMBER(INDEX(IF_TokGW_Astra,1,E$7)),INDEX(IF_TokGW_Astra,1,E$7)*INDEX(B4_EffRef,1,3)/1000000000,INDEX(IF_TokGW_Astra,1,E$7))</f>
        <v>31.1499781291377</v>
      </c>
      <c r="F49" s="72" t="n">
        <f aca="false">IF(ISNUMBER(INDEX(IF_TokGW_Astra,1,F$7)),INDEX(IF_TokGW_Astra,1,F$7)*INDEX(B4_EffRef,1,3)/1000000000,INDEX(IF_TokGW_Astra,1,F$7))</f>
        <v>161.047308022036</v>
      </c>
      <c r="G49" s="72" t="n">
        <f aca="false">IF(ISNUMBER(INDEX(IF_TokGW_Astra,1,G$7)),INDEX(IF_TokGW_Astra,1,G$7)*INDEX(B4_EffRef,1,3)/1000000000,INDEX(IF_TokGW_Astra,1,G$7))</f>
        <v>161.047308022036</v>
      </c>
      <c r="H49" s="72" t="n">
        <f aca="false">IF(ISNUMBER(INDEX(IF_TokGW_Astra,1,H$7)),INDEX(IF_TokGW_Astra,1,H$7)*INDEX(B4_EffRef,1,3)/1000000000,INDEX(IF_TokGW_Astra,1,H$7))</f>
        <v>161.047308022036</v>
      </c>
      <c r="I49" s="72" t="n">
        <f aca="false">IF(ISNUMBER(INDEX(IF_TokGW_Astra,1,I$7)),INDEX(IF_TokGW_Astra,1,I$7)*INDEX(B4_EffRef,1,3)/1000000000,INDEX(IF_TokGW_Astra,1,I$7))</f>
        <v>194.735562009066</v>
      </c>
      <c r="J49" s="72" t="n">
        <f aca="false">IF(ISNUMBER(INDEX(IF_TokGW_Astra,1,J$7)),INDEX(IF_TokGW_Astra,1,J$7)*INDEX(B4_EffRef,1,3)/1000000000,INDEX(IF_TokGW_Astra,1,J$7))</f>
        <v>194.735562009066</v>
      </c>
      <c r="K49" s="72" t="n">
        <f aca="false">IF(ISNUMBER(INDEX(IF_TokGW_Astra,1,K$7)),INDEX(IF_TokGW_Astra,1,K$7)*INDEX(B4_EffRef,1,3)/1000000000,INDEX(IF_TokGW_Astra,1,K$7))</f>
        <v>194.735562009066</v>
      </c>
      <c r="L49" s="72" t="n">
        <f aca="false">IF(ISNUMBER(INDEX(IF_TokGW_Astra,1,L$7)),INDEX(IF_TokGW_Astra,1,L$7)*INDEX(B4_EffRef,1,3)/1000000000,INDEX(IF_TokGW_Astra,1,L$7))</f>
        <v>411.162427187643</v>
      </c>
      <c r="M49" s="72" t="n">
        <f aca="false">IF(ISNUMBER(INDEX(IF_TokGW_Astra,1,M$7)),INDEX(IF_TokGW_Astra,1,M$7)*INDEX(B4_EffRef,1,3)/1000000000,INDEX(IF_TokGW_Astra,1,M$7))</f>
        <v>411.162427187643</v>
      </c>
      <c r="N49" s="72" t="n">
        <f aca="false">IF(ISNUMBER(INDEX(IF_TokGW_Astra,1,N$7)),INDEX(IF_TokGW_Astra,1,N$7)*INDEX(B4_EffRef,1,3)/1000000000,INDEX(IF_TokGW_Astra,1,N$7))</f>
        <v>411.162427187643</v>
      </c>
      <c r="O49" s="72" t="n">
        <f aca="false">IF(ISNUMBER(INDEX(IF_TokGW_Astra,1,O$7)),INDEX(IF_TokGW_Astra,1,O$7)*INDEX(B4_EffRef,1,3)/1000000000,INDEX(IF_TokGW_Astra,1,O$7))</f>
        <v>597.853015258317</v>
      </c>
      <c r="P49" s="72" t="n">
        <f aca="false">IF(ISNUMBER(INDEX(IF_TokGW_Astra,1,P$7)),INDEX(IF_TokGW_Astra,1,P$7)*INDEX(B4_EffRef,1,3)/1000000000,INDEX(IF_TokGW_Astra,1,P$7))</f>
        <v>597.853015258317</v>
      </c>
      <c r="Q49" s="72" t="n">
        <f aca="false">IF(ISNUMBER(INDEX(IF_TokGW_Astra,1,Q$7)),INDEX(IF_TokGW_Astra,1,Q$7)*INDEX(B4_EffRef,1,3)/1000000000,INDEX(IF_TokGW_Astra,1,Q$7))</f>
        <v>597.853015258317</v>
      </c>
    </row>
    <row r="50" customFormat="false" ht="15" hidden="false" customHeight="false" outlineLevel="0" collapsed="false">
      <c r="A50" s="5" t="s">
        <v>1799</v>
      </c>
      <c r="B50" s="59" t="s">
        <v>1796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1800</v>
      </c>
      <c r="B51" s="59" t="s">
        <v>97</v>
      </c>
      <c r="C51" s="86" t="n">
        <f aca="false">IF(ISNUMBER(C47),C47/C50,C47)</f>
        <v>2.75213980581092</v>
      </c>
      <c r="D51" s="86" t="n">
        <f aca="false">IF(ISNUMBER(D47),D47/D50,D47)</f>
        <v>1.92618970914838</v>
      </c>
      <c r="E51" s="86" t="n">
        <f aca="false">IF(ISNUMBER(E47),E47/E50,E47)</f>
        <v>1.12159416363525</v>
      </c>
      <c r="F51" s="86" t="n">
        <f aca="false">IF(ISNUMBER(F47),F47/F50,F47)</f>
        <v>14.6144993715019</v>
      </c>
      <c r="G51" s="86" t="n">
        <f aca="false">IF(ISNUMBER(G47),G47/G50,G47)</f>
        <v>10.9454658605092</v>
      </c>
      <c r="H51" s="86" t="n">
        <f aca="false">IF(ISNUMBER(H47),H47/H50,H47)</f>
        <v>6.74846384816134</v>
      </c>
      <c r="I51" s="86" t="n">
        <f aca="false">IF(ISNUMBER(I47),I47/I50,I47)</f>
        <v>13.8619925959664</v>
      </c>
      <c r="J51" s="86" t="n">
        <f aca="false">IF(ISNUMBER(J47),J47/J50,J47)</f>
        <v>10.7327692462459</v>
      </c>
      <c r="K51" s="86" t="n">
        <f aca="false">IF(ISNUMBER(K47),K47/K50,K47)</f>
        <v>6.30394237537094</v>
      </c>
      <c r="L51" s="86" t="n">
        <f aca="false">IF(ISNUMBER(L47),L47/L50,L47)</f>
        <v>25.9351830755762</v>
      </c>
      <c r="M51" s="86" t="n">
        <f aca="false">IF(ISNUMBER(M47),M47/M50,M47)</f>
        <v>20.1789735724769</v>
      </c>
      <c r="N51" s="86" t="n">
        <f aca="false">IF(ISNUMBER(N47),N47/N50,N47)</f>
        <v>12.4906139154153</v>
      </c>
      <c r="O51" s="86" t="n">
        <f aca="false">IF(ISNUMBER(O47),O47/O50,O47)</f>
        <v>35.5070747308234</v>
      </c>
      <c r="P51" s="86" t="n">
        <f aca="false">IF(ISNUMBER(P47),P47/P50,P47)</f>
        <v>23.3620250250229</v>
      </c>
      <c r="Q51" s="86" t="n">
        <f aca="false">IF(ISNUMBER(Q47),Q47/Q50,Q47)</f>
        <v>12.7973126534017</v>
      </c>
    </row>
    <row r="52" customFormat="false" ht="15" hidden="false" customHeight="false" outlineLevel="0" collapsed="false">
      <c r="A52" s="5" t="s">
        <v>1801</v>
      </c>
      <c r="B52" s="59" t="s">
        <v>97</v>
      </c>
      <c r="C52" s="84" t="n">
        <f aca="false">IF(ISNUMBER(C48),C48/C50,C48)</f>
        <v>2.65167452528906</v>
      </c>
      <c r="D52" s="84" t="n">
        <f aca="false">IF(ISNUMBER(D48),D48/D50,D48)</f>
        <v>1.85587526180115</v>
      </c>
      <c r="E52" s="84" t="n">
        <f aca="false">IF(ISNUMBER(E48),E48/E50,E48)</f>
        <v>1.08065101385653</v>
      </c>
      <c r="F52" s="84" t="n">
        <f aca="false">IF(ISNUMBER(F48),F48/F50,F48)</f>
        <v>14.0810054785157</v>
      </c>
      <c r="G52" s="84" t="n">
        <f aca="false">IF(ISNUMBER(G48),G48/G50,G48)</f>
        <v>10.5459079253357</v>
      </c>
      <c r="H52" s="84" t="n">
        <f aca="false">IF(ISNUMBER(H48),H48/H50,H48)</f>
        <v>6.50211505724394</v>
      </c>
      <c r="I52" s="84" t="n">
        <f aca="false">IF(ISNUMBER(I48),I48/I50,I48)</f>
        <v>13.3559685299632</v>
      </c>
      <c r="J52" s="84" t="n">
        <f aca="false">IF(ISNUMBER(J48),J48/J50,J48)</f>
        <v>10.3409756786285</v>
      </c>
      <c r="K52" s="84" t="n">
        <f aca="false">IF(ISNUMBER(K48),K48/K50,K48)</f>
        <v>6.07382058511957</v>
      </c>
      <c r="L52" s="84" t="n">
        <f aca="false">IF(ISNUMBER(L48),L48/L50,L48)</f>
        <v>24.9884341358704</v>
      </c>
      <c r="M52" s="84" t="n">
        <f aca="false">IF(ISNUMBER(M48),M48/M50,M48)</f>
        <v>19.4423517495878</v>
      </c>
      <c r="N52" s="84" t="n">
        <f aca="false">IF(ISNUMBER(N48),N48/N50,N48)</f>
        <v>12.0346512392995</v>
      </c>
      <c r="O52" s="84" t="n">
        <f aca="false">IF(ISNUMBER(O48),O48/O50,O48)</f>
        <v>34.2109093921982</v>
      </c>
      <c r="P52" s="84" t="n">
        <f aca="false">IF(ISNUMBER(P48),P48/P50,P48)</f>
        <v>22.5092077398174</v>
      </c>
      <c r="Q52" s="84" t="n">
        <f aca="false">IF(ISNUMBER(Q48),Q48/Q50,Q48)</f>
        <v>12.3301541162753</v>
      </c>
    </row>
    <row r="53" customFormat="false" ht="15" hidden="false" customHeight="false" outlineLevel="0" collapsed="false">
      <c r="A53" s="5" t="s">
        <v>1802</v>
      </c>
      <c r="B53" s="59" t="s">
        <v>795</v>
      </c>
      <c r="C53" s="155" t="n">
        <f aca="false">Amortize!C33</f>
        <v>2.55728838640192</v>
      </c>
      <c r="D53" s="155" t="n">
        <f aca="false">Amortize!D33</f>
        <v>3.65375785529338</v>
      </c>
      <c r="E53" s="155" t="n">
        <f aca="false">Amortize!E33</f>
        <v>6.2746859722702</v>
      </c>
      <c r="F53" s="155" t="n">
        <f aca="false">Amortize!F33</f>
        <v>0.500258998810704</v>
      </c>
      <c r="G53" s="155" t="n">
        <f aca="false">Amortize!G33</f>
        <v>0.667876164712613</v>
      </c>
      <c r="H53" s="155" t="n">
        <f aca="false">Amortize!H33</f>
        <v>1.08310261394278</v>
      </c>
      <c r="I53" s="155" t="n">
        <f aca="false">Amortize!I33</f>
        <v>0.536385918424571</v>
      </c>
      <c r="J53" s="155" t="n">
        <f aca="false">Amortize!J33</f>
        <v>0.692708368266773</v>
      </c>
      <c r="K53" s="155" t="n">
        <f aca="false">Amortize!K33</f>
        <v>1.1792129355203</v>
      </c>
      <c r="L53" s="155" t="n">
        <f aca="false">Amortize!L33</f>
        <v>0.275196951960023</v>
      </c>
      <c r="M53" s="155" t="n">
        <f aca="false">Amortize!M33</f>
        <v>0.353635347542499</v>
      </c>
      <c r="N53" s="155" t="n">
        <f aca="false">Amortize!N33</f>
        <v>0.571171445600413</v>
      </c>
      <c r="O53" s="155" t="n">
        <f aca="false">Amortize!O33</f>
        <v>0.199188660250764</v>
      </c>
      <c r="P53" s="155" t="n">
        <f aca="false">Amortize!P33</f>
        <v>0.302623399033489</v>
      </c>
      <c r="Q53" s="155" t="n">
        <f aca="false">Amortize!Q33</f>
        <v>0.5522672750739</v>
      </c>
    </row>
    <row r="54" customFormat="false" ht="15" hidden="false" customHeight="false" outlineLevel="0" collapsed="false">
      <c r="A54" s="5" t="s">
        <v>1819</v>
      </c>
      <c r="B54" s="59" t="s">
        <v>795</v>
      </c>
      <c r="C54" s="156" t="n">
        <f aca="false">IF(AND(ISNUMBER(C53),ISNUMBER(Amortize!C32)),C53+Amortize!C32,"SLO 不可達")</f>
        <v>6.77389042755267</v>
      </c>
      <c r="D54" s="156" t="n">
        <f aca="false">IF(AND(ISNUMBER(D53),ISNUMBER(Amortize!D32)),D53+Amortize!D32,"SLO 不可達")</f>
        <v>9.67843874087721</v>
      </c>
      <c r="E54" s="156" t="n">
        <f aca="false">IF(AND(ISNUMBER(E53),ISNUMBER(Amortize!E32)),E53+Amortize!E32,"SLO 不可達")</f>
        <v>16.6212789726315</v>
      </c>
      <c r="F54" s="156" t="n">
        <f aca="false">IF(AND(ISNUMBER(F53),ISNUMBER(Amortize!F32)),F53+Amortize!F32,"SLO 不可達")</f>
        <v>0.902351992967805</v>
      </c>
      <c r="G54" s="156" t="n">
        <f aca="false">IF(AND(ISNUMBER(G53),ISNUMBER(Amortize!G32)),G53+Amortize!G32,"SLO 不可達")</f>
        <v>1.20475489470766</v>
      </c>
      <c r="H54" s="156" t="n">
        <f aca="false">IF(AND(ISNUMBER(H53),ISNUMBER(Amortize!H32)),H53+Amortize!H32,"SLO 不可達")</f>
        <v>1.95387675493419</v>
      </c>
      <c r="I54" s="156" t="n">
        <f aca="false">IF(AND(ISNUMBER(I53),ISNUMBER(Amortize!I32)),I53+Amortize!I32,"SLO 不可達")</f>
        <v>0.903208960889859</v>
      </c>
      <c r="J54" s="156" t="n">
        <f aca="false">IF(AND(ISNUMBER(J53),ISNUMBER(Amortize!J32)),J53+Amortize!J32,"SLO 不可達")</f>
        <v>1.16648155597062</v>
      </c>
      <c r="K54" s="156" t="n">
        <f aca="false">IF(AND(ISNUMBER(K53),ISNUMBER(Amortize!K32)),K53+Amortize!K32,"SLO 不可達")</f>
        <v>1.98583488665837</v>
      </c>
      <c r="L54" s="156" t="n">
        <f aca="false">IF(AND(ISNUMBER(L53),ISNUMBER(Amortize!L32)),L53+Amortize!L32,"SLO 不可達")</f>
        <v>0.411354577285165</v>
      </c>
      <c r="M54" s="156" t="n">
        <f aca="false">IF(AND(ISNUMBER(M53),ISNUMBER(Amortize!M32)),M53+Amortize!M32,"SLO 不可達")</f>
        <v>0.528632996816382</v>
      </c>
      <c r="N54" s="156" t="n">
        <f aca="false">IF(AND(ISNUMBER(N53),ISNUMBER(Amortize!N32)),N53+Amortize!N32,"SLO 不可達")</f>
        <v>0.85388556708848</v>
      </c>
      <c r="O54" s="156" t="n">
        <f aca="false">IF(AND(ISNUMBER(O53),ISNUMBER(Amortize!O32)),O53+Amortize!O32,"SLO 不可達")</f>
        <v>0.268797402426283</v>
      </c>
      <c r="P54" s="156" t="n">
        <f aca="false">IF(AND(ISNUMBER(P53),ISNUMBER(Amortize!P32)),P53+Amortize!P32,"SLO 不可達")</f>
        <v>0.408419142668617</v>
      </c>
      <c r="Q54" s="156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1804</v>
      </c>
      <c r="B55" s="59" t="s">
        <v>795</v>
      </c>
      <c r="C55" s="155" t="n">
        <f aca="false">IF(AND(ISNUMBER(C53),ISNUMBER(Amortize!C34)),C53+Amortize!C34,"SLO 不可達")</f>
        <v>6.23728874732176</v>
      </c>
      <c r="D55" s="155" t="n">
        <f aca="false">IF(AND(ISNUMBER(D53),ISNUMBER(Amortize!D34)),D53+Amortize!D34,"SLO 不可達")</f>
        <v>8.91160452510582</v>
      </c>
      <c r="E55" s="155" t="n">
        <f aca="false">IF(AND(ISNUMBER(E53),ISNUMBER(Amortize!E34)),E53+Amortize!E34,"SLO 不可達")</f>
        <v>15.3041121274883</v>
      </c>
      <c r="F55" s="155" t="n">
        <f aca="false">IF(AND(ISNUMBER(F53),ISNUMBER(Amortize!F34)),F53+Amortize!F34,"SLO 不可達")</f>
        <v>1.2201438995383</v>
      </c>
      <c r="G55" s="155" t="n">
        <f aca="false">IF(AND(ISNUMBER(G53),ISNUMBER(Amortize!G34)),G53+Amortize!G34,"SLO 不可達")</f>
        <v>1.62896625539662</v>
      </c>
      <c r="H55" s="155" t="n">
        <f aca="false">IF(AND(ISNUMBER(H53),ISNUMBER(Amortize!H34)),H53+Amortize!H34,"SLO 不可達")</f>
        <v>2.64171369254338</v>
      </c>
      <c r="I55" s="155" t="n">
        <f aca="false">IF(AND(ISNUMBER(I53),ISNUMBER(Amortize!I34)),I53+Amortize!I34,"SLO 不可達")</f>
        <v>1.30825833762091</v>
      </c>
      <c r="J55" s="155" t="n">
        <f aca="false">IF(AND(ISNUMBER(J53),ISNUMBER(Amortize!J34)),J53+Amortize!J34,"SLO 不可達")</f>
        <v>1.68953260552871</v>
      </c>
      <c r="K55" s="155" t="n">
        <f aca="false">IF(AND(ISNUMBER(K53),ISNUMBER(Amortize!K34)),K53+Amortize!K34,"SLO 不可達")</f>
        <v>2.87612911102512</v>
      </c>
      <c r="L55" s="155" t="n">
        <f aca="false">IF(AND(ISNUMBER(L53),ISNUMBER(Amortize!L34)),L53+Amortize!L34,"SLO 不可達")</f>
        <v>0.671212077951276</v>
      </c>
      <c r="M55" s="155" t="n">
        <f aca="false">IF(AND(ISNUMBER(M53),ISNUMBER(Amortize!M34)),M53+Amortize!M34,"SLO 不可達")</f>
        <v>0.862525237908535</v>
      </c>
      <c r="N55" s="155" t="n">
        <f aca="false">IF(AND(ISNUMBER(N53),ISNUMBER(Amortize!N34)),N53+Amortize!N34,"SLO 不可達")</f>
        <v>1.39310108683028</v>
      </c>
      <c r="O55" s="155" t="n">
        <f aca="false">IF(AND(ISNUMBER(O53),ISNUMBER(Amortize!O34)),O53+Amortize!O34,"SLO 不可達")</f>
        <v>0.48582600061162</v>
      </c>
      <c r="P55" s="155" t="n">
        <f aca="false">IF(AND(ISNUMBER(P53),ISNUMBER(Amortize!P34)),P53+Amortize!P34,"SLO 不可達")</f>
        <v>0.738105851301193</v>
      </c>
      <c r="Q55" s="155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1820</v>
      </c>
      <c r="B56" s="59" t="s">
        <v>795</v>
      </c>
      <c r="C56" s="156" t="n">
        <f aca="false">IF(AND(ISNUMBER(C53),ISNUMBER(Amortize!C47)),C53+Amortize!C47,"SLO 不可達")</f>
        <v>11.7639866412391</v>
      </c>
      <c r="D56" s="156" t="n">
        <f aca="false">IF(AND(ISNUMBER(D53),ISNUMBER(Amortize!D47)),D53+Amortize!D47,"SLO 不可達")</f>
        <v>16.8079985984148</v>
      </c>
      <c r="E56" s="156" t="n">
        <f aca="false">IF(AND(ISNUMBER(E53),ISNUMBER(Amortize!E47)),E53+Amortize!E47,"SLO 不可達")</f>
        <v>28.8648712574359</v>
      </c>
      <c r="F56" s="156" t="n">
        <f aca="false">IF(AND(ISNUMBER(F53),ISNUMBER(Amortize!F47)),F53+Amortize!F47,"SLO 不可達")</f>
        <v>2.40551439657061</v>
      </c>
      <c r="G56" s="156" t="n">
        <f aca="false">IF(AND(ISNUMBER(G53),ISNUMBER(Amortize!G47)),G53+Amortize!G47,"SLO 不可達")</f>
        <v>3.21156892179189</v>
      </c>
      <c r="H56" s="156" t="n">
        <f aca="false">IF(AND(ISNUMBER(H53),ISNUMBER(Amortize!H47)),H53+Amortize!H47,"SLO 不可達")</f>
        <v>5.20835222613085</v>
      </c>
      <c r="I56" s="156" t="n">
        <f aca="false">IF(AND(ISNUMBER(I53),ISNUMBER(Amortize!I47)),I53+Amortize!I47,"SLO 不可達")</f>
        <v>2.42352547869363</v>
      </c>
      <c r="J56" s="156" t="n">
        <f aca="false">IF(AND(ISNUMBER(J53),ISNUMBER(Amortize!J47)),J53+Amortize!J47,"SLO 不可達")</f>
        <v>3.1298524098591</v>
      </c>
      <c r="K56" s="156" t="n">
        <f aca="false">IF(AND(ISNUMBER(K53),ISNUMBER(Amortize!K47)),K53+Amortize!K47,"SLO 不可達")</f>
        <v>5.32807332011891</v>
      </c>
      <c r="L56" s="156" t="n">
        <f aca="false">IF(AND(ISNUMBER(L53),ISNUMBER(Amortize!L47)),L53+Amortize!L47,"SLO 不可達")</f>
        <v>1.38899655639526</v>
      </c>
      <c r="M56" s="156" t="n">
        <f aca="false">IF(AND(ISNUMBER(M53),ISNUMBER(Amortize!M47)),M53+Amortize!M47,"SLO 不可達")</f>
        <v>1.78497325506045</v>
      </c>
      <c r="N56" s="156" t="n">
        <f aca="false">IF(AND(ISNUMBER(N53),ISNUMBER(Amortize!N47)),N53+Amortize!N47,"SLO 不可達")</f>
        <v>2.88315005112846</v>
      </c>
      <c r="O56" s="156" t="n">
        <f aca="false">IF(AND(ISNUMBER(O53),ISNUMBER(Amortize!O47)),O53+Amortize!O47,"SLO 不可達")</f>
        <v>1.03397968014205</v>
      </c>
      <c r="P56" s="156" t="n">
        <f aca="false">IF(AND(ISNUMBER(P53),ISNUMBER(Amortize!P47)),P53+Amortize!P47,"SLO 不可達")</f>
        <v>1.57106470453646</v>
      </c>
      <c r="Q56" s="156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1806</v>
      </c>
      <c r="B57" s="59" t="s">
        <v>93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1807</v>
      </c>
      <c r="B58" s="59" t="s">
        <v>93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1808</v>
      </c>
      <c r="B59" s="59" t="s">
        <v>93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1809</v>
      </c>
      <c r="B60" s="59" t="s">
        <v>93</v>
      </c>
      <c r="C60" s="116" t="n">
        <f aca="false">IF(ISNUMBER(C56),1-C56/INDEX(B4_EffRef,1,3),"SLO 不可達")</f>
        <v>-0.463991700375441</v>
      </c>
      <c r="D60" s="116" t="n">
        <f aca="false">IF(ISNUMBER(D56),1-D56/INDEX(B4_EffRef,1,3),"SLO 不可達")</f>
        <v>-1.09170336540007</v>
      </c>
      <c r="E60" s="116" t="n">
        <f aca="false">IF(ISNUMBER(E56),1-E56/INDEX(B4_EffRef,1,3),"SLO 不可達")</f>
        <v>-2.5921438235194</v>
      </c>
      <c r="F60" s="116" t="n">
        <f aca="false">IF(ISNUMBER(F56),1-F56/INDEX(B4_EffRef,1,3),"SLO 不可達")</f>
        <v>0.700641184055096</v>
      </c>
      <c r="G60" s="116" t="n">
        <f aca="false">IF(ISNUMBER(G56),1-G56/INDEX(B4_EffRef,1,3),"SLO 不可達")</f>
        <v>0.600330195020367</v>
      </c>
      <c r="H60" s="116" t="n">
        <f aca="false">IF(ISNUMBER(H56),1-H56/INDEX(B4_EffRef,1,3),"SLO 不可達")</f>
        <v>0.351836697522433</v>
      </c>
      <c r="I60" s="116" t="n">
        <f aca="false">IF(ISNUMBER(I56),1-I56/INDEX(B4_EffRef,1,3),"SLO 不可達")</f>
        <v>0.698399760671424</v>
      </c>
      <c r="J60" s="116" t="n">
        <f aca="false">IF(ISNUMBER(J56),1-J56/INDEX(B4_EffRef,1,3),"SLO 不可達")</f>
        <v>0.610499561826163</v>
      </c>
      <c r="K60" s="116" t="n">
        <f aca="false">IF(ISNUMBER(K56),1-K56/INDEX(B4_EffRef,1,3),"SLO 不可達")</f>
        <v>0.336937778193166</v>
      </c>
      <c r="L60" s="116" t="n">
        <f aca="false">IF(ISNUMBER(L56),1-L56/INDEX(B4_EffRef,1,3),"SLO 不可達")</f>
        <v>0.827143680758333</v>
      </c>
      <c r="M60" s="116" t="n">
        <f aca="false">IF(ISNUMBER(M56),1-M56/INDEX(B4_EffRef,1,3),"SLO 不可達")</f>
        <v>0.77786560708595</v>
      </c>
      <c r="N60" s="116" t="n">
        <f aca="false">IF(ISNUMBER(N56),1-N56/INDEX(B4_EffRef,1,3),"SLO 不可達")</f>
        <v>0.641200906247841</v>
      </c>
      <c r="O60" s="116" t="n">
        <f aca="false">IF(ISNUMBER(O56),1-O56/INDEX(B4_EffRef,1,3),"SLO 不可達")</f>
        <v>0.871324431398251</v>
      </c>
      <c r="P60" s="116" t="n">
        <f aca="false">IF(ISNUMBER(P56),1-P56/INDEX(B4_EffRef,1,3),"SLO 不可達")</f>
        <v>0.804485863650053</v>
      </c>
      <c r="Q60" s="116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1810</v>
      </c>
      <c r="B61" s="59" t="s">
        <v>93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1821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1822</v>
      </c>
      <c r="B64" s="59" t="s">
        <v>1796</v>
      </c>
      <c r="C64" s="93" t="n">
        <f aca="false">IF(AND(Fleet_1GW!C18=1,ISNUMBER(Fleet_1GW!C21)),Fleet_1GW!C21*INDEX(B4_EffRef,1,1)/1000000000,"SLO 不可達")</f>
        <v>0.0656538975388793</v>
      </c>
      <c r="D64" s="93" t="n">
        <f aca="false">IF(AND(Fleet_1GW!D18=1,ISNUMBER(Fleet_1GW!D21)),Fleet_1GW!D21*INDEX(B4_EffRef,1,1)/1000000000,"SLO 不可達")</f>
        <v>0.0656538975388793</v>
      </c>
      <c r="E64" s="93" t="n">
        <f aca="false">IF(AND(Fleet_1GW!E18=1,ISNUMBER(Fleet_1GW!E21)),Fleet_1GW!E21*INDEX(B4_EffRef,1,1)/1000000000,"SLO 不可達")</f>
        <v>0.0656538975388793</v>
      </c>
      <c r="F64" s="93" t="n">
        <f aca="false">IF(AND(Fleet_1GW!F18=1,ISNUMBER(Fleet_1GW!F21)),Fleet_1GW!F21*INDEX(B4_EffRef,1,1)/1000000000,"SLO 不可達")</f>
        <v>0.330731407559226</v>
      </c>
      <c r="G64" s="93" t="n">
        <f aca="false">IF(AND(Fleet_1GW!G18=1,ISNUMBER(Fleet_1GW!G21)),Fleet_1GW!G21*INDEX(B4_EffRef,1,1)/1000000000,"SLO 不可達")</f>
        <v>0.330731407559226</v>
      </c>
      <c r="H64" s="93" t="n">
        <f aca="false">IF(AND(Fleet_1GW!H18=1,ISNUMBER(Fleet_1GW!H21)),Fleet_1GW!H21*INDEX(B4_EffRef,1,1)/1000000000,"SLO 不可達")</f>
        <v>0.330731407559226</v>
      </c>
      <c r="I64" s="93" t="n">
        <f aca="false">IF(AND(Fleet_1GW!I18=1,ISNUMBER(Fleet_1GW!I21)),Fleet_1GW!I21*INDEX(B4_EffRef,1,1)/1000000000,"SLO 不可達")</f>
        <v>0.430577634420929</v>
      </c>
      <c r="J64" s="93" t="n">
        <f aca="false">IF(AND(Fleet_1GW!J18=1,ISNUMBER(Fleet_1GW!J21)),Fleet_1GW!J21*INDEX(B4_EffRef,1,1)/1000000000,"SLO 不可達")</f>
        <v>0.430577634420929</v>
      </c>
      <c r="K64" s="93" t="n">
        <f aca="false">IF(AND(Fleet_1GW!K18=1,ISNUMBER(Fleet_1GW!K21)),Fleet_1GW!K21*INDEX(B4_EffRef,1,1)/1000000000,"SLO 不可達")</f>
        <v>0.430577634420929</v>
      </c>
      <c r="L64" s="93" t="n">
        <f aca="false">IF(AND(Fleet_1GW!L18=1,ISNUMBER(Fleet_1GW!L21)),Fleet_1GW!L21*INDEX(B4_EffRef,1,1)/1000000000,"SLO 不可達")</f>
        <v>0.798749212524483</v>
      </c>
      <c r="M64" s="93" t="n">
        <f aca="false">IF(AND(Fleet_1GW!M18=1,ISNUMBER(Fleet_1GW!M21)),Fleet_1GW!M21*INDEX(B4_EffRef,1,1)/1000000000,"SLO 不可達")</f>
        <v>0.798749212524483</v>
      </c>
      <c r="N64" s="93" t="n">
        <f aca="false">IF(AND(Fleet_1GW!N18=1,ISNUMBER(Fleet_1GW!N21)),Fleet_1GW!N21*INDEX(B4_EffRef,1,1)/1000000000,"SLO 不可達")</f>
        <v>0.798749212524483</v>
      </c>
      <c r="O64" s="93" t="n">
        <f aca="false">IF(AND(Fleet_1GW!O18=1,ISNUMBER(Fleet_1GW!O21)),Fleet_1GW!O21*INDEX(B4_EffRef,1,1)/1000000000,"SLO 不可達")</f>
        <v>1.12996107729852</v>
      </c>
      <c r="P64" s="93" t="n">
        <f aca="false">IF(AND(Fleet_1GW!P18=1,ISNUMBER(Fleet_1GW!P21)),Fleet_1GW!P21*INDEX(B4_EffRef,1,1)/1000000000,"SLO 不可達")</f>
        <v>1.12996107729852</v>
      </c>
      <c r="Q64" s="93" t="n">
        <f aca="false">IF(AND(Fleet_1GW!Q18=1,ISNUMBER(Fleet_1GW!Q21)),Fleet_1GW!Q21*INDEX(B4_EffRef,1,1)/1000000000,"SLO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1823</v>
      </c>
      <c r="B65" s="59" t="s">
        <v>1796</v>
      </c>
      <c r="C65" s="93" t="n">
        <f aca="false">IF(AND(Fleet_1GW!C18=1,ISNUMBER(Fleet_1GW!C24)),Fleet_1GW!C24*INDEX(B4_EffRef,1,2)/1000000000,"SLO 不可達")</f>
        <v>1.47721269462479</v>
      </c>
      <c r="D65" s="93" t="n">
        <f aca="false">IF(AND(Fleet_1GW!D18=1,ISNUMBER(Fleet_1GW!D24)),Fleet_1GW!D24*INDEX(B4_EffRef,1,2)/1000000000,"SLO 不可達")</f>
        <v>1.47721269462479</v>
      </c>
      <c r="E65" s="93" t="n">
        <f aca="false">IF(AND(Fleet_1GW!E18=1,ISNUMBER(Fleet_1GW!E24)),Fleet_1GW!E24*INDEX(B4_EffRef,1,2)/1000000000,"SLO 不可達")</f>
        <v>1.47721269462479</v>
      </c>
      <c r="F65" s="93" t="n">
        <f aca="false">IF(AND(Fleet_1GW!F18=1,ISNUMBER(Fleet_1GW!F24)),Fleet_1GW!F24*INDEX(B4_EffRef,1,2)/1000000000,"SLO 不可達")</f>
        <v>7.44145667008259</v>
      </c>
      <c r="G65" s="93" t="n">
        <f aca="false">IF(AND(Fleet_1GW!G18=1,ISNUMBER(Fleet_1GW!G24)),Fleet_1GW!G24*INDEX(B4_EffRef,1,2)/1000000000,"SLO 不可達")</f>
        <v>7.44145667008259</v>
      </c>
      <c r="H65" s="93" t="n">
        <f aca="false">IF(AND(Fleet_1GW!H18=1,ISNUMBER(Fleet_1GW!H24)),Fleet_1GW!H24*INDEX(B4_EffRef,1,2)/1000000000,"SLO 不可達")</f>
        <v>7.44145667008259</v>
      </c>
      <c r="I65" s="93" t="n">
        <f aca="false">IF(AND(Fleet_1GW!I18=1,ISNUMBER(Fleet_1GW!I24)),Fleet_1GW!I24*INDEX(B4_EffRef,1,2)/1000000000,"SLO 不可達")</f>
        <v>9.6879967744709</v>
      </c>
      <c r="J65" s="93" t="n">
        <f aca="false">IF(AND(Fleet_1GW!J18=1,ISNUMBER(Fleet_1GW!J24)),Fleet_1GW!J24*INDEX(B4_EffRef,1,2)/1000000000,"SLO 不可達")</f>
        <v>9.6879967744709</v>
      </c>
      <c r="K65" s="93" t="n">
        <f aca="false">IF(AND(Fleet_1GW!K18=1,ISNUMBER(Fleet_1GW!K24)),Fleet_1GW!K24*INDEX(B4_EffRef,1,2)/1000000000,"SLO 不可達")</f>
        <v>9.6879967744709</v>
      </c>
      <c r="L65" s="93" t="n">
        <f aca="false">IF(AND(Fleet_1GW!L18=1,ISNUMBER(Fleet_1GW!L24)),Fleet_1GW!L24*INDEX(B4_EffRef,1,2)/1000000000,"SLO 不可達")</f>
        <v>17.9718572818009</v>
      </c>
      <c r="M65" s="93" t="n">
        <f aca="false">IF(AND(Fleet_1GW!M18=1,ISNUMBER(Fleet_1GW!M24)),Fleet_1GW!M24*INDEX(B4_EffRef,1,2)/1000000000,"SLO 不可達")</f>
        <v>17.9718572818009</v>
      </c>
      <c r="N65" s="93" t="n">
        <f aca="false">IF(AND(Fleet_1GW!N18=1,ISNUMBER(Fleet_1GW!N24)),Fleet_1GW!N24*INDEX(B4_EffRef,1,2)/1000000000,"SLO 不可達")</f>
        <v>17.9718572818009</v>
      </c>
      <c r="O65" s="93" t="n">
        <f aca="false">IF(AND(Fleet_1GW!O18=1,ISNUMBER(Fleet_1GW!O24)),Fleet_1GW!O24*INDEX(B4_EffRef,1,2)/1000000000,"SLO 不可達")</f>
        <v>25.4241242392166</v>
      </c>
      <c r="P65" s="93" t="n">
        <f aca="false">IF(AND(Fleet_1GW!P18=1,ISNUMBER(Fleet_1GW!P24)),Fleet_1GW!P24*INDEX(B4_EffRef,1,2)/1000000000,"SLO 不可達")</f>
        <v>25.4241242392166</v>
      </c>
      <c r="Q65" s="93" t="n">
        <f aca="false">IF(AND(Fleet_1GW!Q18=1,ISNUMBER(Fleet_1GW!Q24)),Fleet_1GW!Q24*INDEX(B4_EffRef,1,2)/1000000000,"SLO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1824</v>
      </c>
      <c r="B66" s="59" t="s">
        <v>1796</v>
      </c>
      <c r="C66" s="93" t="n">
        <f aca="false">IF(AND(Fleet_1GW!C18=1,ISNUMBER(Fleet_1GW!C27)),Fleet_1GW!C27*INDEX(B4_EffRef,1,3)/1000000000,"SLO 不可達")</f>
        <v>2.46202115770797</v>
      </c>
      <c r="D66" s="93" t="n">
        <f aca="false">IF(AND(Fleet_1GW!D18=1,ISNUMBER(Fleet_1GW!D27)),Fleet_1GW!D27*INDEX(B4_EffRef,1,3)/1000000000,"SLO 不可達")</f>
        <v>2.46202115770797</v>
      </c>
      <c r="E66" s="93" t="n">
        <f aca="false">IF(AND(Fleet_1GW!E18=1,ISNUMBER(Fleet_1GW!E27)),Fleet_1GW!E27*INDEX(B4_EffRef,1,3)/1000000000,"SLO 不可達")</f>
        <v>2.46202115770797</v>
      </c>
      <c r="F66" s="93" t="n">
        <f aca="false">IF(AND(Fleet_1GW!F18=1,ISNUMBER(Fleet_1GW!F27)),Fleet_1GW!F27*INDEX(B4_EffRef,1,3)/1000000000,"SLO 不可達")</f>
        <v>12.402427783471</v>
      </c>
      <c r="G66" s="93" t="n">
        <f aca="false">IF(AND(Fleet_1GW!G18=1,ISNUMBER(Fleet_1GW!G27)),Fleet_1GW!G27*INDEX(B4_EffRef,1,3)/1000000000,"SLO 不可達")</f>
        <v>12.402427783471</v>
      </c>
      <c r="H66" s="93" t="n">
        <f aca="false">IF(AND(Fleet_1GW!H18=1,ISNUMBER(Fleet_1GW!H27)),Fleet_1GW!H27*INDEX(B4_EffRef,1,3)/1000000000,"SLO 不可達")</f>
        <v>12.402427783471</v>
      </c>
      <c r="I66" s="93" t="n">
        <f aca="false">IF(AND(Fleet_1GW!I18=1,ISNUMBER(Fleet_1GW!I27)),Fleet_1GW!I27*INDEX(B4_EffRef,1,3)/1000000000,"SLO 不可達")</f>
        <v>16.1466612907848</v>
      </c>
      <c r="J66" s="93" t="n">
        <f aca="false">IF(AND(Fleet_1GW!J18=1,ISNUMBER(Fleet_1GW!J27)),Fleet_1GW!J27*INDEX(B4_EffRef,1,3)/1000000000,"SLO 不可達")</f>
        <v>16.1466612907848</v>
      </c>
      <c r="K66" s="93" t="n">
        <f aca="false">IF(AND(Fleet_1GW!K18=1,ISNUMBER(Fleet_1GW!K27)),Fleet_1GW!K27*INDEX(B4_EffRef,1,3)/1000000000,"SLO 不可達")</f>
        <v>16.1466612907848</v>
      </c>
      <c r="L66" s="93" t="n">
        <f aca="false">IF(AND(Fleet_1GW!L18=1,ISNUMBER(Fleet_1GW!L27)),Fleet_1GW!L27*INDEX(B4_EffRef,1,3)/1000000000,"SLO 不可達")</f>
        <v>29.9530954696681</v>
      </c>
      <c r="M66" s="93" t="n">
        <f aca="false">IF(AND(Fleet_1GW!M18=1,ISNUMBER(Fleet_1GW!M27)),Fleet_1GW!M27*INDEX(B4_EffRef,1,3)/1000000000,"SLO 不可達")</f>
        <v>29.9530954696681</v>
      </c>
      <c r="N66" s="93" t="n">
        <f aca="false">IF(AND(Fleet_1GW!N18=1,ISNUMBER(Fleet_1GW!N27)),Fleet_1GW!N27*INDEX(B4_EffRef,1,3)/1000000000,"SLO 不可達")</f>
        <v>29.9530954696681</v>
      </c>
      <c r="O66" s="93" t="n">
        <f aca="false">IF(AND(Fleet_1GW!O18=1,ISNUMBER(Fleet_1GW!O27)),Fleet_1GW!O27*INDEX(B4_EffRef,1,3)/1000000000,"SLO 不可達")</f>
        <v>42.3735403986943</v>
      </c>
      <c r="P66" s="93" t="n">
        <f aca="false">IF(AND(Fleet_1GW!P18=1,ISNUMBER(Fleet_1GW!P27)),Fleet_1GW!P27*INDEX(B4_EffRef,1,3)/1000000000,"SLO 不可達")</f>
        <v>42.3735403986943</v>
      </c>
      <c r="Q66" s="93" t="n">
        <f aca="false">IF(AND(Fleet_1GW!Q18=1,ISNUMBER(Fleet_1GW!Q27)),Fleet_1GW!Q27*INDEX(B4_EffRef,1,3)/1000000000,"SLO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1825</v>
      </c>
      <c r="B67" s="59" t="s">
        <v>1796</v>
      </c>
      <c r="C67" s="159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4.00488774987164</v>
      </c>
      <c r="D67" s="159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4.00488774987164</v>
      </c>
      <c r="E67" s="159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4.00488774987164</v>
      </c>
      <c r="F67" s="159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20.1746158611128</v>
      </c>
      <c r="G67" s="159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20.1746158611128</v>
      </c>
      <c r="H67" s="159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20.1746158611128</v>
      </c>
      <c r="I67" s="159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26.2652356996766</v>
      </c>
      <c r="J67" s="159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26.2652356996766</v>
      </c>
      <c r="K67" s="159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26.2652356996766</v>
      </c>
      <c r="L67" s="159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48.7237019639935</v>
      </c>
      <c r="M67" s="159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48.7237019639935</v>
      </c>
      <c r="N67" s="159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48.7237019639935</v>
      </c>
      <c r="O67" s="159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68.9276257152094</v>
      </c>
      <c r="P67" s="159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68.9276257152094</v>
      </c>
      <c r="Q67" s="159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68.9276257152094</v>
      </c>
    </row>
    <row r="68" customFormat="false" ht="26.85" hidden="false" customHeight="false" outlineLevel="0" collapsed="false">
      <c r="A68" s="6" t="s">
        <v>1826</v>
      </c>
      <c r="B68" s="59" t="s">
        <v>1796</v>
      </c>
      <c r="C68" s="93" t="n">
        <f aca="false">IF(AND(Fleet_1GW!C18=1,ISNUMBER(Fleet_1GW!C21)),Fleet_1GW!C21*INDEX(B4_FrontRef,1,1)/1000000000,"SLO 不可達")</f>
        <v>0.0656538975388793</v>
      </c>
      <c r="D68" s="93" t="n">
        <f aca="false">IF(AND(Fleet_1GW!D18=1,ISNUMBER(Fleet_1GW!D21)),Fleet_1GW!D21*INDEX(B4_FrontRef,1,1)/1000000000,"SLO 不可達")</f>
        <v>0.0656538975388793</v>
      </c>
      <c r="E68" s="93" t="n">
        <f aca="false">IF(AND(Fleet_1GW!E18=1,ISNUMBER(Fleet_1GW!E21)),Fleet_1GW!E21*INDEX(B4_FrontRef,1,1)/1000000000,"SLO 不可達")</f>
        <v>0.0656538975388793</v>
      </c>
      <c r="F68" s="93" t="n">
        <f aca="false">IF(AND(Fleet_1GW!F18=1,ISNUMBER(Fleet_1GW!F21)),Fleet_1GW!F21*INDEX(B4_FrontRef,1,1)/1000000000,"SLO 不可達")</f>
        <v>0.330731407559226</v>
      </c>
      <c r="G68" s="93" t="n">
        <f aca="false">IF(AND(Fleet_1GW!G18=1,ISNUMBER(Fleet_1GW!G21)),Fleet_1GW!G21*INDEX(B4_FrontRef,1,1)/1000000000,"SLO 不可達")</f>
        <v>0.330731407559226</v>
      </c>
      <c r="H68" s="93" t="n">
        <f aca="false">IF(AND(Fleet_1GW!H18=1,ISNUMBER(Fleet_1GW!H21)),Fleet_1GW!H21*INDEX(B4_FrontRef,1,1)/1000000000,"SLO 不可達")</f>
        <v>0.330731407559226</v>
      </c>
      <c r="I68" s="93" t="n">
        <f aca="false">IF(AND(Fleet_1GW!I18=1,ISNUMBER(Fleet_1GW!I21)),Fleet_1GW!I21*INDEX(B4_FrontRef,1,1)/1000000000,"SLO 不可達")</f>
        <v>0.430577634420929</v>
      </c>
      <c r="J68" s="93" t="n">
        <f aca="false">IF(AND(Fleet_1GW!J18=1,ISNUMBER(Fleet_1GW!J21)),Fleet_1GW!J21*INDEX(B4_FrontRef,1,1)/1000000000,"SLO 不可達")</f>
        <v>0.430577634420929</v>
      </c>
      <c r="K68" s="93" t="n">
        <f aca="false">IF(AND(Fleet_1GW!K18=1,ISNUMBER(Fleet_1GW!K21)),Fleet_1GW!K21*INDEX(B4_FrontRef,1,1)/1000000000,"SLO 不可達")</f>
        <v>0.430577634420929</v>
      </c>
      <c r="L68" s="93" t="n">
        <f aca="false">IF(AND(Fleet_1GW!L18=1,ISNUMBER(Fleet_1GW!L21)),Fleet_1GW!L21*INDEX(B4_FrontRef,1,1)/1000000000,"SLO 不可達")</f>
        <v>0.798749212524483</v>
      </c>
      <c r="M68" s="93" t="n">
        <f aca="false">IF(AND(Fleet_1GW!M18=1,ISNUMBER(Fleet_1GW!M21)),Fleet_1GW!M21*INDEX(B4_FrontRef,1,1)/1000000000,"SLO 不可達")</f>
        <v>0.798749212524483</v>
      </c>
      <c r="N68" s="93" t="n">
        <f aca="false">IF(AND(Fleet_1GW!N18=1,ISNUMBER(Fleet_1GW!N21)),Fleet_1GW!N21*INDEX(B4_FrontRef,1,1)/1000000000,"SLO 不可達")</f>
        <v>0.798749212524483</v>
      </c>
      <c r="O68" s="93" t="n">
        <f aca="false">IF(AND(Fleet_1GW!O18=1,ISNUMBER(Fleet_1GW!O21)),Fleet_1GW!O21*INDEX(B4_FrontRef,1,1)/1000000000,"SLO 不可達")</f>
        <v>1.12996107729852</v>
      </c>
      <c r="P68" s="93" t="n">
        <f aca="false">IF(AND(Fleet_1GW!P18=1,ISNUMBER(Fleet_1GW!P21)),Fleet_1GW!P21*INDEX(B4_FrontRef,1,1)/1000000000,"SLO 不可達")</f>
        <v>1.12996107729852</v>
      </c>
      <c r="Q68" s="93" t="n">
        <f aca="false">IF(AND(Fleet_1GW!Q18=1,ISNUMBER(Fleet_1GW!Q21)),Fleet_1GW!Q21*INDEX(B4_FrontRef,1,1)/1000000000,"SLO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1827</v>
      </c>
      <c r="B69" s="59" t="s">
        <v>1796</v>
      </c>
      <c r="C69" s="93" t="n">
        <f aca="false">IF(AND(Fleet_1GW!C18=1,ISNUMBER(Fleet_1GW!C24)),Fleet_1GW!C24*INDEX(B4_FrontRef,1,2)/1000000000,"SLO 不可達")</f>
        <v>1.47721269462478</v>
      </c>
      <c r="D69" s="93" t="n">
        <f aca="false">IF(AND(Fleet_1GW!D18=1,ISNUMBER(Fleet_1GW!D24)),Fleet_1GW!D24*INDEX(B4_FrontRef,1,2)/1000000000,"SLO 不可達")</f>
        <v>1.47721269462478</v>
      </c>
      <c r="E69" s="93" t="n">
        <f aca="false">IF(AND(Fleet_1GW!E18=1,ISNUMBER(Fleet_1GW!E24)),Fleet_1GW!E24*INDEX(B4_FrontRef,1,2)/1000000000,"SLO 不可達")</f>
        <v>1.47721269462478</v>
      </c>
      <c r="F69" s="93" t="n">
        <f aca="false">IF(AND(Fleet_1GW!F18=1,ISNUMBER(Fleet_1GW!F24)),Fleet_1GW!F24*INDEX(B4_FrontRef,1,2)/1000000000,"SLO 不可達")</f>
        <v>7.44145667008259</v>
      </c>
      <c r="G69" s="93" t="n">
        <f aca="false">IF(AND(Fleet_1GW!G18=1,ISNUMBER(Fleet_1GW!G24)),Fleet_1GW!G24*INDEX(B4_FrontRef,1,2)/1000000000,"SLO 不可達")</f>
        <v>7.44145667008259</v>
      </c>
      <c r="H69" s="93" t="n">
        <f aca="false">IF(AND(Fleet_1GW!H18=1,ISNUMBER(Fleet_1GW!H24)),Fleet_1GW!H24*INDEX(B4_FrontRef,1,2)/1000000000,"SLO 不可達")</f>
        <v>7.44145667008259</v>
      </c>
      <c r="I69" s="93" t="n">
        <f aca="false">IF(AND(Fleet_1GW!I18=1,ISNUMBER(Fleet_1GW!I24)),Fleet_1GW!I24*INDEX(B4_FrontRef,1,2)/1000000000,"SLO 不可達")</f>
        <v>9.68799677447089</v>
      </c>
      <c r="J69" s="93" t="n">
        <f aca="false">IF(AND(Fleet_1GW!J18=1,ISNUMBER(Fleet_1GW!J24)),Fleet_1GW!J24*INDEX(B4_FrontRef,1,2)/1000000000,"SLO 不可達")</f>
        <v>9.68799677447089</v>
      </c>
      <c r="K69" s="93" t="n">
        <f aca="false">IF(AND(Fleet_1GW!K18=1,ISNUMBER(Fleet_1GW!K24)),Fleet_1GW!K24*INDEX(B4_FrontRef,1,2)/1000000000,"SLO 不可達")</f>
        <v>9.68799677447089</v>
      </c>
      <c r="L69" s="93" t="n">
        <f aca="false">IF(AND(Fleet_1GW!L18=1,ISNUMBER(Fleet_1GW!L24)),Fleet_1GW!L24*INDEX(B4_FrontRef,1,2)/1000000000,"SLO 不可達")</f>
        <v>17.9718572818009</v>
      </c>
      <c r="M69" s="93" t="n">
        <f aca="false">IF(AND(Fleet_1GW!M18=1,ISNUMBER(Fleet_1GW!M24)),Fleet_1GW!M24*INDEX(B4_FrontRef,1,2)/1000000000,"SLO 不可達")</f>
        <v>17.9718572818009</v>
      </c>
      <c r="N69" s="93" t="n">
        <f aca="false">IF(AND(Fleet_1GW!N18=1,ISNUMBER(Fleet_1GW!N24)),Fleet_1GW!N24*INDEX(B4_FrontRef,1,2)/1000000000,"SLO 不可達")</f>
        <v>17.9718572818009</v>
      </c>
      <c r="O69" s="93" t="n">
        <f aca="false">IF(AND(Fleet_1GW!O18=1,ISNUMBER(Fleet_1GW!O24)),Fleet_1GW!O24*INDEX(B4_FrontRef,1,2)/1000000000,"SLO 不可達")</f>
        <v>25.4241242392166</v>
      </c>
      <c r="P69" s="93" t="n">
        <f aca="false">IF(AND(Fleet_1GW!P18=1,ISNUMBER(Fleet_1GW!P24)),Fleet_1GW!P24*INDEX(B4_FrontRef,1,2)/1000000000,"SLO 不可達")</f>
        <v>25.4241242392166</v>
      </c>
      <c r="Q69" s="93" t="n">
        <f aca="false">IF(AND(Fleet_1GW!Q18=1,ISNUMBER(Fleet_1GW!Q24)),Fleet_1GW!Q24*INDEX(B4_FrontRef,1,2)/1000000000,"SLO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1828</v>
      </c>
      <c r="B70" s="59" t="s">
        <v>1796</v>
      </c>
      <c r="C70" s="93" t="n">
        <f aca="false">IF(AND(Fleet_1GW!C18=1,ISNUMBER(Fleet_1GW!C27)),Fleet_1GW!C27*INDEX(B4_FrontRef,1,3)/1000000000,"SLO 不可達")</f>
        <v>2.37214649155271</v>
      </c>
      <c r="D70" s="93" t="n">
        <f aca="false">IF(AND(Fleet_1GW!D18=1,ISNUMBER(Fleet_1GW!D27)),Fleet_1GW!D27*INDEX(B4_FrontRef,1,3)/1000000000,"SLO 不可達")</f>
        <v>2.37214649155271</v>
      </c>
      <c r="E70" s="93" t="n">
        <f aca="false">IF(AND(Fleet_1GW!E18=1,ISNUMBER(Fleet_1GW!E27)),Fleet_1GW!E27*INDEX(B4_FrontRef,1,3)/1000000000,"SLO 不可達")</f>
        <v>2.37214649155271</v>
      </c>
      <c r="F70" s="93" t="n">
        <f aca="false">IF(AND(Fleet_1GW!F18=1,ISNUMBER(Fleet_1GW!F27)),Fleet_1GW!F27*INDEX(B4_FrontRef,1,3)/1000000000,"SLO 不可達")</f>
        <v>11.9496842913752</v>
      </c>
      <c r="G70" s="93" t="n">
        <f aca="false">IF(AND(Fleet_1GW!G18=1,ISNUMBER(Fleet_1GW!G27)),Fleet_1GW!G27*INDEX(B4_FrontRef,1,3)/1000000000,"SLO 不可達")</f>
        <v>11.9496842913752</v>
      </c>
      <c r="H70" s="93" t="n">
        <f aca="false">IF(AND(Fleet_1GW!H18=1,ISNUMBER(Fleet_1GW!H27)),Fleet_1GW!H27*INDEX(B4_FrontRef,1,3)/1000000000,"SLO 不可達")</f>
        <v>11.9496842913752</v>
      </c>
      <c r="I70" s="93" t="n">
        <f aca="false">IF(AND(Fleet_1GW!I18=1,ISNUMBER(Fleet_1GW!I27)),Fleet_1GW!I27*INDEX(B4_FrontRef,1,3)/1000000000,"SLO 不可達")</f>
        <v>15.5572367082672</v>
      </c>
      <c r="J70" s="93" t="n">
        <f aca="false">IF(AND(Fleet_1GW!J18=1,ISNUMBER(Fleet_1GW!J27)),Fleet_1GW!J27*INDEX(B4_FrontRef,1,3)/1000000000,"SLO 不可達")</f>
        <v>15.5572367082672</v>
      </c>
      <c r="K70" s="93" t="n">
        <f aca="false">IF(AND(Fleet_1GW!K18=1,ISNUMBER(Fleet_1GW!K27)),Fleet_1GW!K27*INDEX(B4_FrontRef,1,3)/1000000000,"SLO 不可達")</f>
        <v>15.5572367082672</v>
      </c>
      <c r="L70" s="93" t="n">
        <f aca="false">IF(AND(Fleet_1GW!L18=1,ISNUMBER(Fleet_1GW!L27)),Fleet_1GW!L27*INDEX(B4_FrontRef,1,3)/1000000000,"SLO 不可達")</f>
        <v>28.8596749492046</v>
      </c>
      <c r="M70" s="93" t="n">
        <f aca="false">IF(AND(Fleet_1GW!M18=1,ISNUMBER(Fleet_1GW!M27)),Fleet_1GW!M27*INDEX(B4_FrontRef,1,3)/1000000000,"SLO 不可達")</f>
        <v>28.8596749492046</v>
      </c>
      <c r="N70" s="93" t="n">
        <f aca="false">IF(AND(Fleet_1GW!N18=1,ISNUMBER(Fleet_1GW!N27)),Fleet_1GW!N27*INDEX(B4_FrontRef,1,3)/1000000000,"SLO 不可達")</f>
        <v>28.8596749492046</v>
      </c>
      <c r="O70" s="93" t="n">
        <f aca="false">IF(AND(Fleet_1GW!O18=1,ISNUMBER(Fleet_1GW!O27)),Fleet_1GW!O27*INDEX(B4_FrontRef,1,3)/1000000000,"SLO 不可達")</f>
        <v>40.8267186806004</v>
      </c>
      <c r="P70" s="93" t="n">
        <f aca="false">IF(AND(Fleet_1GW!P18=1,ISNUMBER(Fleet_1GW!P27)),Fleet_1GW!P27*INDEX(B4_FrontRef,1,3)/1000000000,"SLO 不可達")</f>
        <v>40.8267186806004</v>
      </c>
      <c r="Q70" s="93" t="n">
        <f aca="false">IF(AND(Fleet_1GW!Q18=1,ISNUMBER(Fleet_1GW!Q27)),Fleet_1GW!Q27*INDEX(B4_FrontRef,1,3)/1000000000,"SLO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1829</v>
      </c>
      <c r="B71" s="59" t="s">
        <v>1796</v>
      </c>
      <c r="C71" s="96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3.91501308371637</v>
      </c>
      <c r="D71" s="96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3.91501308371637</v>
      </c>
      <c r="E71" s="96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3.91501308371637</v>
      </c>
      <c r="F71" s="96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19.7218723690171</v>
      </c>
      <c r="G71" s="96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19.7218723690171</v>
      </c>
      <c r="H71" s="96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19.7218723690171</v>
      </c>
      <c r="I71" s="96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25.6758111171591</v>
      </c>
      <c r="J71" s="96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25.6758111171591</v>
      </c>
      <c r="K71" s="96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25.6758111171591</v>
      </c>
      <c r="L71" s="96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47.6302814435299</v>
      </c>
      <c r="M71" s="96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47.6302814435299</v>
      </c>
      <c r="N71" s="96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47.6302814435299</v>
      </c>
      <c r="O71" s="96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67.3808039971155</v>
      </c>
      <c r="P71" s="96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67.3808039971155</v>
      </c>
      <c r="Q71" s="96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67.3808039971155</v>
      </c>
    </row>
    <row r="72" customFormat="false" ht="15" hidden="false" customHeight="false" outlineLevel="0" collapsed="false">
      <c r="A72" s="5" t="s">
        <v>1830</v>
      </c>
      <c r="B72" s="59" t="s">
        <v>1796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1831</v>
      </c>
      <c r="B73" s="59" t="s">
        <v>97</v>
      </c>
      <c r="C73" s="102" t="n">
        <f aca="false">IF(ISNUMBER(C67),C67/C72,"SLO 不可達")</f>
        <v>0.589728129103471</v>
      </c>
      <c r="D73" s="102" t="n">
        <f aca="false">IF(ISNUMBER(D67),D67/D72,"SLO 不可達")</f>
        <v>0.412743658979829</v>
      </c>
      <c r="E73" s="102" t="n">
        <f aca="false">IF(ISNUMBER(E67),E67/E72,"SLO 不可達")</f>
        <v>0.240335039062122</v>
      </c>
      <c r="F73" s="102" t="n">
        <f aca="false">IF(ISNUMBER(F67),F67/F72,"SLO 不可達")</f>
        <v>3.05129710480458</v>
      </c>
      <c r="G73" s="102" t="n">
        <f aca="false">IF(ISNUMBER(G67),G67/G72,"SLO 不可達")</f>
        <v>2.28525572049594</v>
      </c>
      <c r="H73" s="102" t="n">
        <f aca="false">IF(ISNUMBER(H67),H67/H72,"SLO 不可達")</f>
        <v>1.40898211278632</v>
      </c>
      <c r="I73" s="102" t="n">
        <f aca="false">IF(ISNUMBER(I67),I67/I72,"SLO 不可達")</f>
        <v>3.11609325524975</v>
      </c>
      <c r="J73" s="102" t="n">
        <f aca="false">IF(ISNUMBER(J67),J67/J72,"SLO 不可達")</f>
        <v>2.41266251059103</v>
      </c>
      <c r="K73" s="102" t="n">
        <f aca="false">IF(ISNUMBER(K67),K67/K72,"SLO 不可達")</f>
        <v>1.41708864590595</v>
      </c>
      <c r="L73" s="102" t="n">
        <f aca="false">IF(ISNUMBER(L67),L67/L72,"SLO 不可達")</f>
        <v>5.12229898696168</v>
      </c>
      <c r="M73" s="102" t="n">
        <f aca="false">IF(ISNUMBER(M67),M67/M72,"SLO 不可達")</f>
        <v>3.98542534236299</v>
      </c>
      <c r="N73" s="102" t="n">
        <f aca="false">IF(ISNUMBER(N67),N67/N72,"SLO 不可達")</f>
        <v>2.46694456788754</v>
      </c>
      <c r="O73" s="102" t="n">
        <f aca="false">IF(ISNUMBER(O67),O67/O72,"SLO 不可達")</f>
        <v>6.82279839923167</v>
      </c>
      <c r="P73" s="102" t="n">
        <f aca="false">IF(ISNUMBER(P67),P67/P72,"SLO 不可達")</f>
        <v>4.48908810855002</v>
      </c>
      <c r="Q73" s="102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1832</v>
      </c>
      <c r="B74" s="59" t="s">
        <v>795</v>
      </c>
      <c r="C74" s="92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0.456315540982179</v>
      </c>
      <c r="D74" s="92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0.456315540982179</v>
      </c>
      <c r="E74" s="92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0.456315540982179</v>
      </c>
      <c r="F74" s="92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0.4676289657332</v>
      </c>
      <c r="G74" s="92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0.4676289657332</v>
      </c>
      <c r="H74" s="92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0.4676289657332</v>
      </c>
      <c r="I74" s="92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0.428991641549732</v>
      </c>
      <c r="J74" s="92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0.428991641549732</v>
      </c>
      <c r="K74" s="92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0.428991641549732</v>
      </c>
      <c r="L74" s="92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0.506498513793652</v>
      </c>
      <c r="M74" s="92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0.506498513793652</v>
      </c>
      <c r="N74" s="92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0.506498513793652</v>
      </c>
      <c r="O74" s="92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0.522135965346108</v>
      </c>
      <c r="P74" s="92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0.522135965346108</v>
      </c>
      <c r="Q74" s="92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0.522135965346108</v>
      </c>
    </row>
    <row r="76" customFormat="false" ht="15" hidden="false" customHeight="false" outlineLevel="0" collapsed="false">
      <c r="A76" s="73" t="s">
        <v>1833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57" t="s">
        <v>1834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59" t="s">
        <v>1835</v>
      </c>
      <c r="B78" s="59" t="s">
        <v>423</v>
      </c>
      <c r="C78" s="160" t="n">
        <f aca="false">(Workload!C32*INDEX(B4_EffIn,1,1)+Workload!C33*INDEX(B4_EffCache,1,1)+Workload!C34*INDEX(B4_EffOut,1,1))/1000000</f>
        <v>0.000328</v>
      </c>
      <c r="D78" s="160" t="n">
        <f aca="false">(Workload!D32*INDEX(B4_EffIn,1,1)+Workload!D33*INDEX(B4_EffCache,1,1)+Workload!D34*INDEX(B4_EffOut,1,1))/1000000</f>
        <v>0.001608</v>
      </c>
      <c r="E78" s="160" t="n">
        <f aca="false">(Workload!E32*INDEX(B4_EffIn,1,1)+Workload!E33*INDEX(B4_EffCache,1,1)+Workload!E34*INDEX(B4_EffOut,1,1))/1000000</f>
        <v>0.00165408</v>
      </c>
      <c r="F78" s="160" t="n">
        <f aca="false">(Workload!F32*INDEX(B4_EffIn,1,1)+Workload!F33*INDEX(B4_EffCache,1,1)+Workload!F34*INDEX(B4_EffOut,1,1))/1000000</f>
        <v>0.00661632</v>
      </c>
      <c r="G78" s="160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9" t="s">
        <v>1836</v>
      </c>
      <c r="B79" s="59" t="s">
        <v>423</v>
      </c>
      <c r="C79" s="160" t="n">
        <f aca="false">(Workload!C32*INDEX(B4_EffIn,1,2)+Workload!C33*INDEX(B4_EffCache,1,2)+Workload!C34*INDEX(B4_EffOut,1,2))/1000000</f>
        <v>0.00656</v>
      </c>
      <c r="D79" s="160" t="n">
        <f aca="false">(Workload!D32*INDEX(B4_EffIn,1,2)+Workload!D33*INDEX(B4_EffCache,1,2)+Workload!D34*INDEX(B4_EffOut,1,2))/1000000</f>
        <v>0.03216</v>
      </c>
      <c r="E79" s="160" t="n">
        <f aca="false">(Workload!E32*INDEX(B4_EffIn,1,2)+Workload!E33*INDEX(B4_EffCache,1,2)+Workload!E34*INDEX(B4_EffOut,1,2))/1000000</f>
        <v>0.0330816</v>
      </c>
      <c r="F79" s="160" t="n">
        <f aca="false">(Workload!F32*INDEX(B4_EffIn,1,2)+Workload!F33*INDEX(B4_EffCache,1,2)+Workload!F34*INDEX(B4_EffOut,1,2))/1000000</f>
        <v>0.1323264</v>
      </c>
      <c r="G79" s="160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9" t="s">
        <v>1837</v>
      </c>
      <c r="B80" s="59" t="s">
        <v>423</v>
      </c>
      <c r="C80" s="160" t="n">
        <f aca="false">(Workload!C32*INDEX(B4_EffIn,1,3)+Workload!C33*INDEX(B4_EffCache,1,3)+Workload!C34*INDEX(B4_EffOut,1,3))/1000000</f>
        <v>0.0328</v>
      </c>
      <c r="D80" s="160" t="n">
        <f aca="false">(Workload!D32*INDEX(B4_EffIn,1,3)+Workload!D33*INDEX(B4_EffCache,1,3)+Workload!D34*INDEX(B4_EffOut,1,3))/1000000</f>
        <v>0.1608</v>
      </c>
      <c r="E80" s="160" t="n">
        <f aca="false">(Workload!E32*INDEX(B4_EffIn,1,3)+Workload!E33*INDEX(B4_EffCache,1,3)+Workload!E34*INDEX(B4_EffOut,1,3))/1000000</f>
        <v>0.165408</v>
      </c>
      <c r="F80" s="160" t="n">
        <f aca="false">(Workload!F32*INDEX(B4_EffIn,1,3)+Workload!F33*INDEX(B4_EffCache,1,3)+Workload!F34*INDEX(B4_EffOut,1,3))/1000000</f>
        <v>0.661632</v>
      </c>
      <c r="G80" s="160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9" t="s">
        <v>1838</v>
      </c>
      <c r="B81" s="59" t="s">
        <v>97</v>
      </c>
      <c r="C81" s="106" t="n">
        <f aca="false">IF(ISNUMBER(Workload!C43),IF(Workload!C43&gt;0,C78/Workload!C43,0),"SLO 不可達")</f>
        <v>3.32864180305216</v>
      </c>
      <c r="D81" s="106" t="n">
        <f aca="false">IF(ISNUMBER(Workload!D43),IF(Workload!D43&gt;0,D78/Workload!D43,0),"SLO 不可達")</f>
        <v>2.46883000212729</v>
      </c>
      <c r="E81" s="106" t="n">
        <f aca="false">IF(ISNUMBER(Workload!E43),IF(Workload!E43&gt;0,E78/Workload!E43,0),"SLO 不可達")</f>
        <v>3.51244401964252</v>
      </c>
      <c r="F81" s="106" t="n">
        <f aca="false">IF(ISNUMBER(Workload!F43),IF(Workload!F43&gt;0,F78/Workload!F43,0),"SLO 不可達")</f>
        <v>3.51244401964252</v>
      </c>
      <c r="G81" s="106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59" t="s">
        <v>1839</v>
      </c>
      <c r="B82" s="59" t="s">
        <v>97</v>
      </c>
      <c r="C82" s="106" t="n">
        <f aca="false">IF(ISNUMBER(Workload!C44),IF(Workload!C44&gt;0,C79/Workload!C44,0),"SLO 不可達")</f>
        <v>20.7279835049917</v>
      </c>
      <c r="D82" s="106" t="n">
        <f aca="false">IF(ISNUMBER(Workload!D44),IF(Workload!D44&gt;0,D79/Workload!D44,0),"SLO 不可達")</f>
        <v>15.5173983320681</v>
      </c>
      <c r="E82" s="106" t="n">
        <f aca="false">IF(ISNUMBER(Workload!E44),IF(Workload!E44&gt;0,E79/Workload!E44,0),"SLO 不可達")</f>
        <v>21.9052471219721</v>
      </c>
      <c r="F82" s="106" t="n">
        <f aca="false">IF(ISNUMBER(Workload!F44),IF(Workload!F44&gt;0,F79/Workload!F44,0),"SLO 不可達")</f>
        <v>21.9052471219721</v>
      </c>
      <c r="G82" s="106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59" t="s">
        <v>1840</v>
      </c>
      <c r="B83" s="59" t="s">
        <v>97</v>
      </c>
      <c r="C83" s="106" t="n">
        <f aca="false">IF(ISNUMBER(Workload!C45),IF(Workload!C45&gt;0,C80/Workload!C45,0),"SLO 不可達")</f>
        <v>21.0128609907787</v>
      </c>
      <c r="D83" s="106" t="n">
        <f aca="false">IF(ISNUMBER(Workload!D45),IF(Workload!D45&gt;0,D80/Workload!D45,0),"SLO 不可達")</f>
        <v>15.097373821651</v>
      </c>
      <c r="E83" s="106" t="n">
        <f aca="false">IF(ISNUMBER(Workload!E45),IF(Workload!E45&gt;0,E80/Workload!E45,0),"SLO 不可達")</f>
        <v>22.124011083883</v>
      </c>
      <c r="F83" s="106" t="n">
        <f aca="false">IF(ISNUMBER(Workload!F45),IF(Workload!F45&gt;0,F80/Workload!F45,0),"SLO 不可達")</f>
        <v>22.124011083883</v>
      </c>
      <c r="G83" s="106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59" t="s">
        <v>1841</v>
      </c>
      <c r="B84" s="59" t="s">
        <v>97</v>
      </c>
      <c r="C84" s="106" t="n">
        <f aca="false">IF(ISNUMBER(Workload!C46),IF(Workload!C46&gt;0,C78/Workload!C46,0),"SLO 不可達")</f>
        <v>2.52866073616673</v>
      </c>
      <c r="D84" s="106" t="n">
        <f aca="false">IF(ISNUMBER(Workload!D46),IF(Workload!D46&gt;0,D78/Workload!D46,0),"SLO 不可達")</f>
        <v>1.86275229282185</v>
      </c>
      <c r="E84" s="106" t="n">
        <f aca="false">IF(ISNUMBER(Workload!E46),IF(Workload!E46&gt;0,E78/Workload!E46,0),"SLO 不可達")</f>
        <v>2.67022307447932</v>
      </c>
      <c r="F84" s="106" t="n">
        <f aca="false">IF(ISNUMBER(Workload!F46),IF(Workload!F46&gt;0,F78/Workload!F46,0),"SLO 不可達")</f>
        <v>2.67022307447932</v>
      </c>
      <c r="G84" s="106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59" t="s">
        <v>1842</v>
      </c>
      <c r="B85" s="59" t="s">
        <v>97</v>
      </c>
      <c r="C85" s="106" t="n">
        <f aca="false">IF(ISNUMBER(Workload!C47),IF(Workload!C47&gt;0,C79/Workload!C47,0),"SLO 不可達")</f>
        <v>14.5296497731241</v>
      </c>
      <c r="D85" s="106" t="n">
        <f aca="false">IF(ISNUMBER(Workload!D47),IF(Workload!D47&gt;0,D79/Workload!D47,0),"SLO 不可達")</f>
        <v>10.6983988149687</v>
      </c>
      <c r="E85" s="106" t="n">
        <f aca="false">IF(ISNUMBER(Workload!E47),IF(Workload!E47&gt;0,E79/Workload!E47,0),"SLO 不可達")</f>
        <v>15.3493830823439</v>
      </c>
      <c r="F85" s="106" t="n">
        <f aca="false">IF(ISNUMBER(Workload!F47),IF(Workload!F47&gt;0,F79/Workload!F47,0),"SLO 不可達")</f>
        <v>15.3493830823439</v>
      </c>
      <c r="G85" s="106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59" t="s">
        <v>1843</v>
      </c>
      <c r="B86" s="59" t="s">
        <v>97</v>
      </c>
      <c r="C86" s="106" t="n">
        <f aca="false">IF(ISNUMBER(Workload!C48),IF(Workload!C48&gt;0,C80/Workload!C48,0),"SLO 不可達")</f>
        <v>10.6470317371208</v>
      </c>
      <c r="D86" s="106" t="n">
        <f aca="false">IF(ISNUMBER(Workload!D48),IF(Workload!D48&gt;0,D80/Workload!D48,0),"SLO 不可達")</f>
        <v>7.41617143089069</v>
      </c>
      <c r="E86" s="106" t="n">
        <f aca="false">IF(ISNUMBER(Workload!E48),IF(Workload!E48&gt;0,E80/Workload!E48,0),"SLO 不可達")</f>
        <v>11.2104441520872</v>
      </c>
      <c r="F86" s="106" t="n">
        <f aca="false">IF(ISNUMBER(Workload!F48),IF(Workload!F48&gt;0,F80/Workload!F48,0),"SLO 不可達")</f>
        <v>11.2104441520872</v>
      </c>
      <c r="G86" s="106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1844</v>
      </c>
    </row>
    <row r="89" customFormat="false" ht="15" hidden="false" customHeight="false" outlineLevel="0" collapsed="false">
      <c r="A89" s="73" t="s">
        <v>1845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8" t="s">
        <v>1846</v>
      </c>
      <c r="B90" s="59" t="s">
        <v>1796</v>
      </c>
      <c r="C90" s="72" t="n">
        <f aca="false">INDEX(IFW_RevGW_Luna_Life,1,1)</f>
        <v>2.44762339054934</v>
      </c>
      <c r="D90" s="72" t="n">
        <f aca="false">INDEX(IFW_RevGW_Luna_Life,1,2)</f>
        <v>2.44762339054934</v>
      </c>
      <c r="E90" s="72" t="n">
        <f aca="false">INDEX(IFW_RevGW_Luna_Life,1,3)</f>
        <v>2.44762339054934</v>
      </c>
      <c r="F90" s="72" t="n">
        <f aca="false">INDEX(IFW_RevGW_Luna_Life,1,4)</f>
        <v>13.6555857459493</v>
      </c>
      <c r="G90" s="72" t="n">
        <f aca="false">INDEX(IFW_RevGW_Luna_Life,1,5)</f>
        <v>13.6555857459493</v>
      </c>
      <c r="H90" s="72" t="n">
        <f aca="false">INDEX(IFW_RevGW_Luna_Life,1,6)</f>
        <v>13.6555857459493</v>
      </c>
      <c r="I90" s="72" t="n">
        <f aca="false">INDEX(IFW_RevGW_Luna_Life,1,7)</f>
        <v>19.8808398591479</v>
      </c>
      <c r="J90" s="72" t="n">
        <f aca="false">INDEX(IFW_RevGW_Luna_Life,1,8)</f>
        <v>19.8808398591479</v>
      </c>
      <c r="K90" s="72" t="n">
        <f aca="false">INDEX(IFW_RevGW_Luna_Life,1,9)</f>
        <v>19.8808398591479</v>
      </c>
      <c r="L90" s="72" t="n">
        <f aca="false">INDEX(IFW_RevGW_Luna_Life,1,10)</f>
        <v>29.3255549100997</v>
      </c>
      <c r="M90" s="72" t="n">
        <f aca="false">INDEX(IFW_RevGW_Luna_Life,1,11)</f>
        <v>29.3255549100997</v>
      </c>
      <c r="N90" s="72" t="n">
        <f aca="false">INDEX(IFW_RevGW_Luna_Life,1,12)</f>
        <v>29.3255549100997</v>
      </c>
      <c r="O90" s="72" t="n">
        <f aca="false">INDEX(IFW_RevGW_Luna_Life,1,13)</f>
        <v>39.6992397829504</v>
      </c>
      <c r="P90" s="72" t="n">
        <f aca="false">INDEX(IFW_RevGW_Luna_Life,1,14)</f>
        <v>39.6992397829504</v>
      </c>
      <c r="Q90" s="72" t="n">
        <f aca="false">INDEX(IFW_RevGW_Luna_Life,1,15)</f>
        <v>39.6992397829504</v>
      </c>
    </row>
    <row r="91" customFormat="false" ht="15" hidden="false" customHeight="false" outlineLevel="0" collapsed="false">
      <c r="A91" s="58" t="s">
        <v>1847</v>
      </c>
      <c r="B91" s="59" t="s">
        <v>1796</v>
      </c>
      <c r="C91" s="72" t="n">
        <f aca="false">INDEX(IFW_RevGW_Sol_Life,1,1)</f>
        <v>15.1336974133362</v>
      </c>
      <c r="D91" s="72" t="n">
        <f aca="false">INDEX(IFW_RevGW_Sol_Life,1,2)</f>
        <v>15.1336974133362</v>
      </c>
      <c r="E91" s="72" t="n">
        <f aca="false">INDEX(IFW_RevGW_Sol_Life,1,3)</f>
        <v>15.1336974133362</v>
      </c>
      <c r="F91" s="72" t="n">
        <f aca="false">INDEX(IFW_RevGW_Sol_Life,1,4)</f>
        <v>80.1519532436076</v>
      </c>
      <c r="G91" s="72" t="n">
        <f aca="false">INDEX(IFW_RevGW_Sol_Life,1,5)</f>
        <v>80.1519532436076</v>
      </c>
      <c r="H91" s="72" t="n">
        <f aca="false">INDEX(IFW_RevGW_Sol_Life,1,6)</f>
        <v>80.1519532436076</v>
      </c>
      <c r="I91" s="72" t="n">
        <f aca="false">INDEX(IFW_RevGW_Sol_Life,1,7)</f>
        <v>116.69130687468</v>
      </c>
      <c r="J91" s="72" t="n">
        <f aca="false">INDEX(IFW_RevGW_Sol_Life,1,8)</f>
        <v>116.69130687468</v>
      </c>
      <c r="K91" s="72" t="n">
        <f aca="false">INDEX(IFW_RevGW_Sol_Life,1,9)</f>
        <v>116.69130687468</v>
      </c>
      <c r="L91" s="72" t="n">
        <f aca="false">INDEX(IFW_RevGW_Sol_Life,1,10)</f>
        <v>184.79597204631</v>
      </c>
      <c r="M91" s="72" t="n">
        <f aca="false">INDEX(IFW_RevGW_Sol_Life,1,11)</f>
        <v>184.79597204631</v>
      </c>
      <c r="N91" s="72" t="n">
        <f aca="false">INDEX(IFW_RevGW_Sol_Life,1,12)</f>
        <v>184.79597204631</v>
      </c>
      <c r="O91" s="72" t="n">
        <f aca="false">INDEX(IFW_RevGW_Sol_Life,1,13)</f>
        <v>254.725350558298</v>
      </c>
      <c r="P91" s="72" t="n">
        <f aca="false">INDEX(IFW_RevGW_Sol_Life,1,14)</f>
        <v>254.725350558298</v>
      </c>
      <c r="Q91" s="72" t="n">
        <f aca="false">INDEX(IFW_RevGW_Sol_Life,1,15)</f>
        <v>254.725350558298</v>
      </c>
    </row>
    <row r="92" customFormat="false" ht="15" hidden="false" customHeight="false" outlineLevel="0" collapsed="false">
      <c r="A92" s="58" t="s">
        <v>1848</v>
      </c>
      <c r="B92" s="59" t="s">
        <v>1796</v>
      </c>
      <c r="C92" s="72" t="n">
        <f aca="false">INDEX(IFW_RevGW_Astra_Life,1,1)</f>
        <v>9.08886774488705</v>
      </c>
      <c r="D92" s="72" t="n">
        <f aca="false">INDEX(IFW_RevGW_Astra_Life,1,2)</f>
        <v>9.08886774488705</v>
      </c>
      <c r="E92" s="72" t="n">
        <f aca="false">INDEX(IFW_RevGW_Astra_Life,1,3)</f>
        <v>9.08886774488705</v>
      </c>
      <c r="F92" s="72" t="n">
        <f aca="false">INDEX(IFW_RevGW_Astra_Life,1,4)</f>
        <v>70.8060260045462</v>
      </c>
      <c r="G92" s="72" t="n">
        <f aca="false">INDEX(IFW_RevGW_Astra_Life,1,5)</f>
        <v>70.8060260045462</v>
      </c>
      <c r="H92" s="72" t="n">
        <f aca="false">INDEX(IFW_RevGW_Astra_Life,1,6)</f>
        <v>70.8060260045462</v>
      </c>
      <c r="I92" s="72" t="n">
        <f aca="false">INDEX(IFW_RevGW_Astra_Life,1,7)</f>
        <v>81.6810591163036</v>
      </c>
      <c r="J92" s="72" t="n">
        <f aca="false">INDEX(IFW_RevGW_Astra_Life,1,8)</f>
        <v>81.6810591163036</v>
      </c>
      <c r="K92" s="72" t="n">
        <f aca="false">INDEX(IFW_RevGW_Astra_Life,1,9)</f>
        <v>81.6810591163036</v>
      </c>
      <c r="L92" s="72" t="n">
        <f aca="false">INDEX(IFW_RevGW_Astra_Life,1,10)</f>
        <v>188.934678809326</v>
      </c>
      <c r="M92" s="72" t="n">
        <f aca="false">INDEX(IFW_RevGW_Astra_Life,1,11)</f>
        <v>188.934678809326</v>
      </c>
      <c r="N92" s="72" t="n">
        <f aca="false">INDEX(IFW_RevGW_Astra_Life,1,12)</f>
        <v>188.934678809326</v>
      </c>
      <c r="O92" s="72" t="n">
        <f aca="false">INDEX(IFW_RevGW_Astra_Life,1,13)</f>
        <v>278.482692813541</v>
      </c>
      <c r="P92" s="72" t="n">
        <f aca="false">INDEX(IFW_RevGW_Astra_Life,1,14)</f>
        <v>278.482692813541</v>
      </c>
      <c r="Q92" s="72" t="n">
        <f aca="false">INDEX(IFW_RevGW_Astra_Life,1,15)</f>
        <v>278.482692813541</v>
      </c>
    </row>
    <row r="93" customFormat="false" ht="15" hidden="false" customHeight="false" outlineLevel="0" collapsed="false">
      <c r="A93" s="58" t="s">
        <v>1849</v>
      </c>
      <c r="B93" s="59" t="s">
        <v>1796</v>
      </c>
      <c r="C93" s="72" t="n">
        <f aca="false">INDEX(IFW_RevGWFleet_Life,1,1)</f>
        <v>2.24296199760285</v>
      </c>
      <c r="D93" s="72" t="n">
        <f aca="false">INDEX(IFW_RevGWFleet_Life,1,2)</f>
        <v>2.24296199760285</v>
      </c>
      <c r="E93" s="72" t="n">
        <f aca="false">INDEX(IFW_RevGWFleet_Life,1,3)</f>
        <v>2.24296199760285</v>
      </c>
      <c r="F93" s="72" t="n">
        <f aca="false">INDEX(IFW_RevGWFleet_Life,1,4)</f>
        <v>15.2851605558118</v>
      </c>
      <c r="G93" s="72" t="n">
        <f aca="false">INDEX(IFW_RevGWFleet_Life,1,5)</f>
        <v>15.2851605558118</v>
      </c>
      <c r="H93" s="72" t="n">
        <f aca="false">INDEX(IFW_RevGWFleet_Life,1,6)</f>
        <v>15.2851605558118</v>
      </c>
      <c r="I93" s="72" t="n">
        <f aca="false">INDEX(IFW_RevGWFleet_Life,1,7)</f>
        <v>19.2324652424837</v>
      </c>
      <c r="J93" s="72" t="n">
        <f aca="false">INDEX(IFW_RevGWFleet_Life,1,8)</f>
        <v>19.2324652424837</v>
      </c>
      <c r="K93" s="72" t="n">
        <f aca="false">INDEX(IFW_RevGWFleet_Life,1,9)</f>
        <v>19.2324652424837</v>
      </c>
      <c r="L93" s="72" t="n">
        <f aca="false">INDEX(IFW_RevGWFleet_Life,1,10)</f>
        <v>38.1145472754025</v>
      </c>
      <c r="M93" s="72" t="n">
        <f aca="false">INDEX(IFW_RevGWFleet_Life,1,11)</f>
        <v>38.1145472754025</v>
      </c>
      <c r="N93" s="72" t="n">
        <f aca="false">INDEX(IFW_RevGWFleet_Life,1,12)</f>
        <v>38.1145472754025</v>
      </c>
      <c r="O93" s="72" t="n">
        <f aca="false">INDEX(IFW_RevGWFleet_Life,1,13)</f>
        <v>54.4181760054532</v>
      </c>
      <c r="P93" s="72" t="n">
        <f aca="false">INDEX(IFW_RevGWFleet_Life,1,14)</f>
        <v>54.4181760054532</v>
      </c>
      <c r="Q93" s="72" t="n">
        <f aca="false">INDEX(IFW_RevGWFleet_Life,1,15)</f>
        <v>54.4181760054532</v>
      </c>
    </row>
    <row r="95" customFormat="false" ht="15" hidden="false" customHeight="false" outlineLevel="0" collapsed="false">
      <c r="A95" s="57" t="s">
        <v>1850</v>
      </c>
    </row>
    <row r="96" customFormat="false" ht="15" hidden="false" customHeight="false" outlineLevel="0" collapsed="false">
      <c r="A96" s="56" t="s">
        <v>1851</v>
      </c>
      <c r="C96" s="109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9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9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9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9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9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9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9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9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9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9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9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9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9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9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6" t="s">
        <v>1852</v>
      </c>
      <c r="C97" s="109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9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9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9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9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9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9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9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9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9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9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9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9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9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9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6" t="s">
        <v>1853</v>
      </c>
      <c r="C98" s="109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9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9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9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9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9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9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9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9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9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9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9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9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9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9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6" t="s">
        <v>1854</v>
      </c>
      <c r="C99" s="109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9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9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9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9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9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9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9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9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9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9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9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9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9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9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3" t="s">
        <v>1855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</row>
    <row r="102" customFormat="false" ht="15" hidden="false" customHeight="false" outlineLevel="0" collapsed="false">
      <c r="A102" s="56" t="s">
        <v>1856</v>
      </c>
      <c r="C102" s="109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9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9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9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9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9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9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9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9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9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9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9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9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9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9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6" t="s">
        <v>1857</v>
      </c>
      <c r="C103" s="109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9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9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9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9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9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9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9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9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9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9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9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9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9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9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6" t="s">
        <v>1858</v>
      </c>
      <c r="C104" s="109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9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9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9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9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9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9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9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9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9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9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9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9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9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9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6" t="s">
        <v>1859</v>
      </c>
      <c r="C105" s="109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9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9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9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9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9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9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9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9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9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9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9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9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9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9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6" t="s">
        <v>1860</v>
      </c>
      <c r="C106" s="109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9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9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9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9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9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9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9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9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9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9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9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9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9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9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6" t="s">
        <v>1861</v>
      </c>
      <c r="C107" s="109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9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9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9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9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9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9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9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9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9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9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9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9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9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9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5" t="s">
        <v>1862</v>
      </c>
    </row>
    <row r="2" customFormat="false" ht="15" hidden="false" customHeight="false" outlineLevel="0" collapsed="false">
      <c r="A2" s="71" t="s">
        <v>1863</v>
      </c>
    </row>
    <row r="4" customFormat="false" ht="29.85" hidden="false" customHeight="false" outlineLevel="0" collapsed="false">
      <c r="A4" s="81" t="s">
        <v>1864</v>
      </c>
      <c r="B4" s="81" t="s">
        <v>324</v>
      </c>
      <c r="C4" s="82" t="s">
        <v>1865</v>
      </c>
      <c r="D4" s="81" t="s">
        <v>1866</v>
      </c>
      <c r="E4" s="81" t="s">
        <v>1867</v>
      </c>
      <c r="F4" s="81" t="s">
        <v>1866</v>
      </c>
      <c r="G4" s="81" t="s">
        <v>325</v>
      </c>
    </row>
    <row r="5" customFormat="false" ht="15" hidden="false" customHeight="false" outlineLevel="0" collapsed="false">
      <c r="A5" s="58" t="s">
        <v>79</v>
      </c>
      <c r="B5" s="109" t="s">
        <v>608</v>
      </c>
      <c r="C5" s="151" t="n">
        <f aca="false">Theory_Rev!M33*D5</f>
        <v>18.7157019208829</v>
      </c>
      <c r="D5" s="74" t="n">
        <f aca="false">1</f>
        <v>1</v>
      </c>
      <c r="E5" s="161" t="n">
        <f aca="false">Theory_Rev!M73*F5</f>
        <v>3.98542534236299</v>
      </c>
      <c r="F5" s="74" t="n">
        <f aca="false">1</f>
        <v>1</v>
      </c>
      <c r="G5" s="85" t="s">
        <v>1868</v>
      </c>
    </row>
    <row r="6" customFormat="false" ht="15" hidden="false" customHeight="false" outlineLevel="0" collapsed="false">
      <c r="A6" s="58" t="s">
        <v>1869</v>
      </c>
      <c r="B6" s="63" t="n">
        <v>0.4</v>
      </c>
      <c r="C6" s="151" t="n">
        <f aca="false">Theory_Rev!M33*D6</f>
        <v>12.4771346139219</v>
      </c>
      <c r="D6" s="74" t="n">
        <f aca="false">B6/IF_Util</f>
        <v>0.666666666666667</v>
      </c>
      <c r="E6" s="161" t="n">
        <f aca="false">Theory_Rev!M73*F6</f>
        <v>2.656950228242</v>
      </c>
      <c r="F6" s="74" t="n">
        <f aca="false">B6/IF_Util</f>
        <v>0.666666666666667</v>
      </c>
      <c r="G6" s="91" t="s">
        <v>1870</v>
      </c>
    </row>
    <row r="7" customFormat="false" ht="15" hidden="false" customHeight="false" outlineLevel="0" collapsed="false">
      <c r="A7" s="58" t="s">
        <v>1871</v>
      </c>
      <c r="B7" s="63" t="n">
        <v>0.8</v>
      </c>
      <c r="C7" s="151" t="n">
        <f aca="false">Theory_Rev!M33*D7</f>
        <v>24.9542692278439</v>
      </c>
      <c r="D7" s="74" t="n">
        <f aca="false">B7/IF_Util</f>
        <v>1.33333333333333</v>
      </c>
      <c r="E7" s="161" t="n">
        <f aca="false">Theory_Rev!M73*F7</f>
        <v>5.31390045648399</v>
      </c>
      <c r="F7" s="74" t="n">
        <f aca="false">B7/IF_Util</f>
        <v>1.33333333333333</v>
      </c>
      <c r="G7" s="91"/>
    </row>
    <row r="8" customFormat="false" ht="15" hidden="false" customHeight="false" outlineLevel="0" collapsed="false">
      <c r="A8" s="58" t="s">
        <v>1872</v>
      </c>
      <c r="B8" s="63" t="n">
        <v>0.1</v>
      </c>
      <c r="C8" s="151" t="n">
        <f aca="false">Theory_Rev!M33*D8</f>
        <v>21.0551646609933</v>
      </c>
      <c r="D8" s="74" t="n">
        <f aca="false">(1-B8)/(1-B4_Disc)</f>
        <v>1.125</v>
      </c>
      <c r="E8" s="161" t="n">
        <f aca="false">Theory_Rev!M73*F8</f>
        <v>4.48360351015837</v>
      </c>
      <c r="F8" s="74" t="n">
        <f aca="false">(1-B8)/(1-B4_Disc)</f>
        <v>1.125</v>
      </c>
      <c r="G8" s="91"/>
    </row>
    <row r="9" customFormat="false" ht="15" hidden="false" customHeight="false" outlineLevel="0" collapsed="false">
      <c r="A9" s="58" t="s">
        <v>1873</v>
      </c>
      <c r="B9" s="63" t="n">
        <v>0.3</v>
      </c>
      <c r="C9" s="151" t="n">
        <f aca="false">Theory_Rev!M33*D9</f>
        <v>16.3762391807725</v>
      </c>
      <c r="D9" s="74" t="n">
        <f aca="false">(1-B9)/(1-B4_Disc)</f>
        <v>0.875</v>
      </c>
      <c r="E9" s="161" t="n">
        <f aca="false">Theory_Rev!M73*F9</f>
        <v>3.48724717456762</v>
      </c>
      <c r="F9" s="74" t="n">
        <f aca="false">(1-B9)/(1-B4_Disc)</f>
        <v>0.875</v>
      </c>
      <c r="G9" s="91"/>
    </row>
    <row r="10" customFormat="false" ht="15" hidden="false" customHeight="false" outlineLevel="0" collapsed="false">
      <c r="A10" s="58" t="s">
        <v>1874</v>
      </c>
      <c r="B10" s="63" t="n">
        <v>0.3</v>
      </c>
      <c r="C10" s="151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9" t="s">
        <v>608</v>
      </c>
      <c r="F10" s="59" t="s">
        <v>608</v>
      </c>
      <c r="G10" s="91" t="s">
        <v>1875</v>
      </c>
    </row>
    <row r="11" customFormat="false" ht="15" hidden="false" customHeight="false" outlineLevel="0" collapsed="false">
      <c r="A11" s="58" t="s">
        <v>1876</v>
      </c>
      <c r="B11" s="63" t="n">
        <v>0.75</v>
      </c>
      <c r="C11" s="151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9" t="s">
        <v>608</v>
      </c>
      <c r="F11" s="59" t="s">
        <v>608</v>
      </c>
      <c r="G11" s="91"/>
    </row>
    <row r="12" customFormat="false" ht="15" hidden="false" customHeight="false" outlineLevel="0" collapsed="false">
      <c r="A12" s="58" t="s">
        <v>1877</v>
      </c>
      <c r="B12" s="63" t="n">
        <v>0.3</v>
      </c>
      <c r="C12" s="151" t="n">
        <f aca="false">Theory_Rev!M33*D12</f>
        <v>18.7157019208829</v>
      </c>
      <c r="D12" s="74" t="n">
        <f aca="false">1</f>
        <v>1</v>
      </c>
      <c r="E12" s="161" t="n">
        <f aca="false">Theory_Rev!M73*F12</f>
        <v>2.91616488465585</v>
      </c>
      <c r="F12" s="74" t="n">
        <f aca="false">B12/B4_Serve</f>
        <v>0.731707317073171</v>
      </c>
      <c r="G12" s="91" t="s">
        <v>1878</v>
      </c>
    </row>
    <row r="13" customFormat="false" ht="15" hidden="false" customHeight="false" outlineLevel="0" collapsed="false">
      <c r="A13" s="58" t="s">
        <v>1879</v>
      </c>
      <c r="B13" s="63" t="n">
        <v>0.6</v>
      </c>
      <c r="C13" s="151" t="n">
        <f aca="false">Theory_Rev!M33*D13</f>
        <v>18.7157019208829</v>
      </c>
      <c r="D13" s="74" t="n">
        <f aca="false">1</f>
        <v>1</v>
      </c>
      <c r="E13" s="161" t="n">
        <f aca="false">Theory_Rev!M73*F13</f>
        <v>5.8323297693117</v>
      </c>
      <c r="F13" s="74" t="n">
        <f aca="false">B13/B4_Serve</f>
        <v>1.46341463414634</v>
      </c>
      <c r="G13" s="91"/>
    </row>
    <row r="14" customFormat="false" ht="15" hidden="false" customHeight="false" outlineLevel="0" collapsed="false">
      <c r="A14" s="58" t="s">
        <v>1880</v>
      </c>
      <c r="B14" s="63" t="n">
        <v>0.35</v>
      </c>
      <c r="C14" s="151" t="n">
        <f aca="false">Theory_Rev!M33*D14</f>
        <v>18.7157019208829</v>
      </c>
      <c r="D14" s="74" t="n">
        <f aca="false">1</f>
        <v>1</v>
      </c>
      <c r="E14" s="161" t="n">
        <f aca="false">Theory_Rev!M73*F14</f>
        <v>4.79727124543694</v>
      </c>
      <c r="F14" s="74" t="n">
        <f aca="false">(1-B14)/(1-B4_Free)</f>
        <v>1.2037037037037</v>
      </c>
      <c r="G14" s="91"/>
    </row>
    <row r="15" customFormat="false" ht="15" hidden="false" customHeight="false" outlineLevel="0" collapsed="false">
      <c r="A15" s="58" t="s">
        <v>1881</v>
      </c>
      <c r="B15" s="63" t="n">
        <v>0.6</v>
      </c>
      <c r="C15" s="151" t="n">
        <f aca="false">Theory_Rev!M33*D15</f>
        <v>18.7157019208829</v>
      </c>
      <c r="D15" s="74" t="n">
        <f aca="false">1</f>
        <v>1</v>
      </c>
      <c r="E15" s="161" t="n">
        <f aca="false">Theory_Rev!M73*F15</f>
        <v>2.95216692026888</v>
      </c>
      <c r="F15" s="74" t="n">
        <f aca="false">(1-B15)/(1-B4_Free)</f>
        <v>0.740740740740741</v>
      </c>
      <c r="G15" s="91"/>
    </row>
    <row r="16" customFormat="false" ht="15" hidden="false" customHeight="false" outlineLevel="0" collapsed="false">
      <c r="A16" s="58" t="s">
        <v>1882</v>
      </c>
      <c r="B16" s="109" t="s">
        <v>608</v>
      </c>
      <c r="C16" s="151" t="n">
        <f aca="false">Theory_Rev!M33*D16</f>
        <v>18.7157019208829</v>
      </c>
      <c r="D16" s="74" t="n">
        <f aca="false">INDEX(B4_FrontRef,1,2)/INDEX(B4_EffRef,1,2)</f>
        <v>1</v>
      </c>
      <c r="E16" s="59" t="s">
        <v>608</v>
      </c>
      <c r="F16" s="59" t="s">
        <v>608</v>
      </c>
      <c r="G16" s="85" t="s">
        <v>1883</v>
      </c>
    </row>
    <row r="17" customFormat="false" ht="15" hidden="false" customHeight="false" outlineLevel="0" collapsed="false">
      <c r="A17" s="59" t="s">
        <v>1884</v>
      </c>
      <c r="B17" s="64" t="n">
        <v>7</v>
      </c>
      <c r="C17" s="151" t="n">
        <f aca="false">Theory_Rev!M33*D17</f>
        <v>49.51709289467</v>
      </c>
      <c r="D17" s="95" t="n">
        <f aca="false">EXP(CST_Eps*LN(B17))/Price_Frontier!D38</f>
        <v>2.64575131106459</v>
      </c>
      <c r="E17" s="161" t="n">
        <f aca="false">Theory_Rev!M73*F17</f>
        <v>10.5444443247069</v>
      </c>
      <c r="F17" s="95" t="n">
        <f aca="false">EXP(CST_Eps*LN(B17))/Price_Frontier!D38</f>
        <v>2.64575131106459</v>
      </c>
      <c r="G17" s="85" t="s">
        <v>1885</v>
      </c>
    </row>
    <row r="18" customFormat="false" ht="26.85" hidden="false" customHeight="false" outlineLevel="0" collapsed="false">
      <c r="A18" s="59" t="s">
        <v>1886</v>
      </c>
      <c r="B18" s="78" t="n">
        <v>0.5</v>
      </c>
      <c r="G18" s="91" t="s">
        <v>1887</v>
      </c>
    </row>
    <row r="19" customFormat="false" ht="15" hidden="false" customHeight="false" outlineLevel="0" collapsed="false">
      <c r="A19" s="57" t="s">
        <v>1888</v>
      </c>
    </row>
    <row r="20" customFormat="false" ht="15" hidden="false" customHeight="false" outlineLevel="0" collapsed="false">
      <c r="A20" s="58" t="s">
        <v>1889</v>
      </c>
      <c r="B20" s="64" t="n">
        <v>6</v>
      </c>
      <c r="C20" s="162" t="n">
        <f aca="false">IF(ISNUMBER(Amortize!M22),Amortize!M22*INDEX(B4_Life,1,2)/B20,Amortize!M22)</f>
        <v>0.0140397505639323</v>
      </c>
      <c r="D20" s="95" t="n">
        <f aca="false">IF(ISNUMBER(C20),C20/Amortize!M22,C20)</f>
        <v>2</v>
      </c>
      <c r="G20" s="56" t="s">
        <v>1890</v>
      </c>
    </row>
    <row r="21" customFormat="false" ht="15" hidden="false" customHeight="false" outlineLevel="0" collapsed="false">
      <c r="A21" s="58" t="s">
        <v>1891</v>
      </c>
      <c r="B21" s="64" t="n">
        <v>24</v>
      </c>
      <c r="C21" s="162" t="n">
        <f aca="false">IF(ISNUMBER(Amortize!M22),Amortize!M22*INDEX(B4_Life,1,2)/B21,Amortize!M22)</f>
        <v>0.00350993764098307</v>
      </c>
      <c r="D21" s="95" t="n">
        <f aca="false">IF(ISNUMBER(C21),C21/Amortize!M22,C21)</f>
        <v>0.5</v>
      </c>
      <c r="G21" s="56" t="s">
        <v>1890</v>
      </c>
    </row>
    <row r="23" customFormat="false" ht="15" hidden="false" customHeight="false" outlineLevel="0" collapsed="false">
      <c r="A23" s="71" t="s">
        <v>1892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5" t="s">
        <v>1893</v>
      </c>
    </row>
    <row r="2" customFormat="false" ht="15" hidden="false" customHeight="false" outlineLevel="0" collapsed="false">
      <c r="A2" s="71" t="s">
        <v>1894</v>
      </c>
    </row>
    <row r="4" customFormat="false" ht="15" hidden="false" customHeight="false" outlineLevel="0" collapsed="false">
      <c r="A4" s="73" t="s">
        <v>1895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8" t="s">
        <v>1896</v>
      </c>
      <c r="B5" s="58" t="s">
        <v>89</v>
      </c>
      <c r="C5" s="64" t="n">
        <v>2</v>
      </c>
      <c r="H5" s="56" t="s">
        <v>86</v>
      </c>
      <c r="I5" s="71" t="s">
        <v>1897</v>
      </c>
    </row>
    <row r="6" customFormat="false" ht="15" hidden="false" customHeight="false" outlineLevel="0" collapsed="false">
      <c r="A6" s="58" t="s">
        <v>1898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1899</v>
      </c>
      <c r="B7" s="59" t="s">
        <v>97</v>
      </c>
      <c r="C7" s="161" t="n">
        <f aca="false">Tech_Registry!O16*Tech_Registry!N16</f>
        <v>0</v>
      </c>
      <c r="I7" s="56" t="s">
        <v>1900</v>
      </c>
    </row>
    <row r="8" customFormat="false" ht="15" hidden="false" customHeight="false" outlineLevel="0" collapsed="false">
      <c r="A8" s="58" t="s">
        <v>1901</v>
      </c>
      <c r="B8" s="59" t="s">
        <v>93</v>
      </c>
      <c r="C8" s="63" t="n">
        <v>0.5</v>
      </c>
      <c r="H8" s="56" t="s">
        <v>86</v>
      </c>
      <c r="I8" s="56" t="s">
        <v>1902</v>
      </c>
    </row>
    <row r="9" customFormat="false" ht="15" hidden="false" customHeight="false" outlineLevel="0" collapsed="false">
      <c r="A9" s="73" t="s">
        <v>1903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57" t="s">
        <v>1904</v>
      </c>
    </row>
    <row r="11" customFormat="false" ht="30" hidden="false" customHeight="true" outlineLevel="0" collapsed="false">
      <c r="A11" s="57" t="s">
        <v>76</v>
      </c>
      <c r="B11" s="57" t="s">
        <v>77</v>
      </c>
      <c r="C11" s="163" t="str">
        <f aca="false">Workload!C4</f>
        <v>一般聊天</v>
      </c>
      <c r="D11" s="163" t="str">
        <f aca="false">Workload!D4</f>
        <v>推理聊天</v>
      </c>
      <c r="E11" s="163" t="str">
        <f aca="false">Workload!E4</f>
        <v>單代理（工具迴圈）</v>
      </c>
      <c r="F11" s="163" t="str">
        <f aca="false">Workload!F4</f>
        <v>多代理研究</v>
      </c>
      <c r="G11" s="163" t="str">
        <f aca="false">Workload!G4</f>
        <v>Coding agent（長程）</v>
      </c>
      <c r="H11" s="57" t="s">
        <v>81</v>
      </c>
      <c r="I11" s="57" t="s">
        <v>325</v>
      </c>
    </row>
    <row r="12" customFormat="false" ht="26.85" hidden="false" customHeight="false" outlineLevel="0" collapsed="false">
      <c r="A12" s="58" t="s">
        <v>1905</v>
      </c>
      <c r="B12" s="59" t="s">
        <v>97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6" t="s">
        <v>94</v>
      </c>
      <c r="I12" s="91" t="s">
        <v>1906</v>
      </c>
    </row>
    <row r="13" customFormat="false" ht="15" hidden="false" customHeight="false" outlineLevel="0" collapsed="false">
      <c r="A13" s="58" t="s">
        <v>1907</v>
      </c>
      <c r="B13" s="59" t="s">
        <v>93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6" t="s">
        <v>1908</v>
      </c>
      <c r="I13" s="85" t="s">
        <v>1909</v>
      </c>
    </row>
    <row r="14" customFormat="false" ht="15" hidden="false" customHeight="false" outlineLevel="0" collapsed="false">
      <c r="A14" s="58" t="s">
        <v>1910</v>
      </c>
      <c r="B14" s="59" t="s">
        <v>97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6" t="s">
        <v>94</v>
      </c>
      <c r="I14" s="91" t="s">
        <v>1911</v>
      </c>
    </row>
    <row r="15" customFormat="false" ht="15" hidden="false" customHeight="false" outlineLevel="0" collapsed="false">
      <c r="A15" s="58" t="s">
        <v>1912</v>
      </c>
      <c r="B15" s="59" t="s">
        <v>97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6" t="s">
        <v>94</v>
      </c>
      <c r="I15" s="91" t="s">
        <v>1913</v>
      </c>
    </row>
    <row r="16" customFormat="false" ht="15" hidden="false" customHeight="false" outlineLevel="0" collapsed="false">
      <c r="A16" s="58" t="s">
        <v>1914</v>
      </c>
      <c r="B16" s="58" t="s">
        <v>1915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6" t="s">
        <v>94</v>
      </c>
      <c r="I16" s="91" t="s">
        <v>1916</v>
      </c>
    </row>
    <row r="17" customFormat="false" ht="15" hidden="false" customHeight="false" outlineLevel="0" collapsed="false">
      <c r="A17" s="58" t="s">
        <v>1917</v>
      </c>
      <c r="B17" s="58" t="s">
        <v>316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6" t="s">
        <v>94</v>
      </c>
      <c r="I17" s="91" t="s">
        <v>1918</v>
      </c>
    </row>
    <row r="18" customFormat="false" ht="15" hidden="false" customHeight="false" outlineLevel="0" collapsed="false">
      <c r="A18" s="58" t="s">
        <v>1919</v>
      </c>
      <c r="B18" s="59" t="s">
        <v>1150</v>
      </c>
      <c r="C18" s="146" t="n">
        <v>0.0833333333333333</v>
      </c>
      <c r="D18" s="146" t="n">
        <v>0.0833333333333333</v>
      </c>
      <c r="E18" s="146" t="n">
        <v>0.67</v>
      </c>
      <c r="F18" s="146" t="n">
        <v>0.67</v>
      </c>
      <c r="G18" s="146" t="n">
        <v>0.67</v>
      </c>
      <c r="H18" s="56" t="s">
        <v>98</v>
      </c>
      <c r="I18" s="85" t="s">
        <v>1920</v>
      </c>
    </row>
    <row r="19" customFormat="false" ht="26.85" hidden="false" customHeight="false" outlineLevel="0" collapsed="false">
      <c r="A19" s="58" t="s">
        <v>1921</v>
      </c>
      <c r="B19" s="59" t="s">
        <v>97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6" t="s">
        <v>94</v>
      </c>
      <c r="I19" s="85" t="s">
        <v>1922</v>
      </c>
    </row>
    <row r="20" customFormat="false" ht="15" hidden="false" customHeight="false" outlineLevel="0" collapsed="false">
      <c r="A20" s="58" t="s">
        <v>1923</v>
      </c>
      <c r="B20" s="58" t="s">
        <v>1732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6" t="s">
        <v>129</v>
      </c>
      <c r="I20" s="91" t="s">
        <v>1924</v>
      </c>
    </row>
    <row r="22" customFormat="false" ht="15" hidden="false" customHeight="false" outlineLevel="0" collapsed="false">
      <c r="A22" s="57" t="s">
        <v>1925</v>
      </c>
    </row>
    <row r="23" customFormat="false" ht="30" hidden="false" customHeight="true" outlineLevel="0" collapsed="false">
      <c r="A23" s="57" t="s">
        <v>76</v>
      </c>
      <c r="B23" s="57" t="s">
        <v>77</v>
      </c>
      <c r="C23" s="163" t="str">
        <f aca="false">Workload!C4</f>
        <v>一般聊天</v>
      </c>
      <c r="D23" s="163" t="str">
        <f aca="false">Workload!D4</f>
        <v>推理聊天</v>
      </c>
      <c r="E23" s="163" t="str">
        <f aca="false">Workload!E4</f>
        <v>單代理（工具迴圈）</v>
      </c>
      <c r="F23" s="163" t="str">
        <f aca="false">Workload!F4</f>
        <v>多代理研究</v>
      </c>
      <c r="G23" s="163" t="str">
        <f aca="false">Workload!G4</f>
        <v>Coding agent（長程）</v>
      </c>
      <c r="H23" s="57" t="s">
        <v>81</v>
      </c>
      <c r="I23" s="57" t="s">
        <v>325</v>
      </c>
    </row>
    <row r="24" customFormat="false" ht="15" hidden="false" customHeight="false" outlineLevel="0" collapsed="false">
      <c r="A24" s="58" t="s">
        <v>1905</v>
      </c>
      <c r="B24" s="59" t="s">
        <v>97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6" t="s">
        <v>94</v>
      </c>
      <c r="I24" s="91"/>
    </row>
    <row r="25" customFormat="false" ht="15" hidden="false" customHeight="false" outlineLevel="0" collapsed="false">
      <c r="A25" s="58" t="s">
        <v>1907</v>
      </c>
      <c r="B25" s="59" t="s">
        <v>93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6" t="s">
        <v>94</v>
      </c>
      <c r="I25" s="91"/>
    </row>
    <row r="26" customFormat="false" ht="15" hidden="false" customHeight="false" outlineLevel="0" collapsed="false">
      <c r="A26" s="58" t="s">
        <v>1910</v>
      </c>
      <c r="B26" s="59" t="s">
        <v>97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6" t="s">
        <v>94</v>
      </c>
      <c r="I26" s="91"/>
    </row>
    <row r="27" customFormat="false" ht="15" hidden="false" customHeight="false" outlineLevel="0" collapsed="false">
      <c r="A27" s="58" t="s">
        <v>1912</v>
      </c>
      <c r="B27" s="59" t="s">
        <v>97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6" t="s">
        <v>94</v>
      </c>
      <c r="I27" s="91"/>
    </row>
    <row r="28" customFormat="false" ht="15" hidden="false" customHeight="false" outlineLevel="0" collapsed="false">
      <c r="A28" s="58" t="s">
        <v>1914</v>
      </c>
      <c r="B28" s="58" t="s">
        <v>1915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6" t="s">
        <v>94</v>
      </c>
      <c r="I28" s="91"/>
    </row>
    <row r="29" customFormat="false" ht="26.85" hidden="false" customHeight="false" outlineLevel="0" collapsed="false">
      <c r="A29" s="58" t="s">
        <v>1917</v>
      </c>
      <c r="B29" s="58" t="s">
        <v>316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6" t="s">
        <v>98</v>
      </c>
      <c r="I29" s="85" t="s">
        <v>1926</v>
      </c>
    </row>
    <row r="30" customFormat="false" ht="15" hidden="false" customHeight="false" outlineLevel="0" collapsed="false">
      <c r="A30" s="58" t="s">
        <v>1919</v>
      </c>
      <c r="B30" s="59" t="s">
        <v>1150</v>
      </c>
      <c r="C30" s="146" t="n">
        <v>0.0833333333333333</v>
      </c>
      <c r="D30" s="146" t="n">
        <v>0.0833333333333333</v>
      </c>
      <c r="E30" s="146" t="n">
        <v>0.0833333333333333</v>
      </c>
      <c r="F30" s="146" t="n">
        <v>0.0833333333333333</v>
      </c>
      <c r="G30" s="146" t="n">
        <v>0.0833333333333333</v>
      </c>
      <c r="H30" s="56" t="s">
        <v>94</v>
      </c>
      <c r="I30" s="91"/>
    </row>
    <row r="31" customFormat="false" ht="15" hidden="false" customHeight="false" outlineLevel="0" collapsed="false">
      <c r="A31" s="58" t="s">
        <v>1921</v>
      </c>
      <c r="B31" s="59" t="s">
        <v>97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6" t="s">
        <v>94</v>
      </c>
      <c r="I31" s="85" t="s">
        <v>1927</v>
      </c>
    </row>
    <row r="32" customFormat="false" ht="15" hidden="false" customHeight="false" outlineLevel="0" collapsed="false">
      <c r="A32" s="58" t="s">
        <v>1923</v>
      </c>
      <c r="B32" s="58" t="s">
        <v>1732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6" t="s">
        <v>94</v>
      </c>
      <c r="I32" s="91" t="s">
        <v>1928</v>
      </c>
    </row>
    <row r="34" customFormat="false" ht="15" hidden="false" customHeight="false" outlineLevel="0" collapsed="false">
      <c r="A34" s="57" t="s">
        <v>1929</v>
      </c>
    </row>
    <row r="35" customFormat="false" ht="30" hidden="false" customHeight="true" outlineLevel="0" collapsed="false">
      <c r="A35" s="57" t="s">
        <v>76</v>
      </c>
      <c r="B35" s="57" t="s">
        <v>77</v>
      </c>
      <c r="C35" s="163" t="str">
        <f aca="false">Workload!C4</f>
        <v>一般聊天</v>
      </c>
      <c r="D35" s="163" t="str">
        <f aca="false">Workload!D4</f>
        <v>推理聊天</v>
      </c>
      <c r="E35" s="163" t="str">
        <f aca="false">Workload!E4</f>
        <v>單代理（工具迴圈）</v>
      </c>
      <c r="F35" s="163" t="str">
        <f aca="false">Workload!F4</f>
        <v>多代理研究</v>
      </c>
      <c r="G35" s="163" t="str">
        <f aca="false">Workload!G4</f>
        <v>Coding agent（長程）</v>
      </c>
    </row>
    <row r="36" customFormat="false" ht="15" hidden="false" customHeight="false" outlineLevel="0" collapsed="false">
      <c r="A36" s="58" t="s">
        <v>1905</v>
      </c>
      <c r="B36" s="59" t="s">
        <v>97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8" t="s">
        <v>1907</v>
      </c>
      <c r="B37" s="59" t="s">
        <v>93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8" t="s">
        <v>1910</v>
      </c>
      <c r="B38" s="59" t="s">
        <v>97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8" t="s">
        <v>1912</v>
      </c>
      <c r="B39" s="59" t="s">
        <v>97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8" t="s">
        <v>1914</v>
      </c>
      <c r="B40" s="58" t="s">
        <v>1915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8" t="s">
        <v>1917</v>
      </c>
      <c r="B41" s="58" t="s">
        <v>316</v>
      </c>
      <c r="C41" s="109" t="n">
        <f aca="false">CHOOSE(B5_Profile-1,C17,C29)</f>
        <v>0</v>
      </c>
      <c r="D41" s="109" t="n">
        <f aca="false">CHOOSE(B5_Profile-1,D17,D29)</f>
        <v>0</v>
      </c>
      <c r="E41" s="109" t="n">
        <f aca="false">CHOOSE(B5_Profile-1,E17,E29)</f>
        <v>0</v>
      </c>
      <c r="F41" s="109" t="n">
        <f aca="false">CHOOSE(B5_Profile-1,F17,F29)</f>
        <v>0</v>
      </c>
      <c r="G41" s="109" t="n">
        <f aca="false">CHOOSE(B5_Profile-1,G17,G29)</f>
        <v>0</v>
      </c>
    </row>
    <row r="42" customFormat="false" ht="15" hidden="false" customHeight="false" outlineLevel="0" collapsed="false">
      <c r="A42" s="58" t="s">
        <v>1919</v>
      </c>
      <c r="B42" s="59" t="s">
        <v>1150</v>
      </c>
      <c r="C42" s="112" t="n">
        <f aca="false">CHOOSE(B5_Profile-1,C18,C30)</f>
        <v>0.0833333333333333</v>
      </c>
      <c r="D42" s="112" t="n">
        <f aca="false">CHOOSE(B5_Profile-1,D18,D30)</f>
        <v>0.0833333333333333</v>
      </c>
      <c r="E42" s="112" t="n">
        <f aca="false">CHOOSE(B5_Profile-1,E18,E30)</f>
        <v>0.67</v>
      </c>
      <c r="F42" s="112" t="n">
        <f aca="false">CHOOSE(B5_Profile-1,F18,F30)</f>
        <v>0.67</v>
      </c>
      <c r="G42" s="112" t="n">
        <f aca="false">CHOOSE(B5_Profile-1,G18,G30)</f>
        <v>0.67</v>
      </c>
    </row>
    <row r="43" customFormat="false" ht="15" hidden="false" customHeight="false" outlineLevel="0" collapsed="false">
      <c r="A43" s="58" t="s">
        <v>1921</v>
      </c>
      <c r="B43" s="59" t="s">
        <v>97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8" t="s">
        <v>1923</v>
      </c>
      <c r="B44" s="58" t="s">
        <v>1732</v>
      </c>
      <c r="C44" s="109" t="n">
        <f aca="false">CHOOSE(B5_Profile-1,C20,C32)</f>
        <v>1</v>
      </c>
      <c r="D44" s="109" t="n">
        <f aca="false">CHOOSE(B5_Profile-1,D20,D32)</f>
        <v>1</v>
      </c>
      <c r="E44" s="109" t="n">
        <f aca="false">CHOOSE(B5_Profile-1,E20,E32)</f>
        <v>1</v>
      </c>
      <c r="F44" s="109" t="n">
        <f aca="false">CHOOSE(B5_Profile-1,F20,F32)</f>
        <v>1</v>
      </c>
      <c r="G44" s="109" t="n">
        <f aca="false">CHOOSE(B5_Profile-1,G20,G32)</f>
        <v>1</v>
      </c>
    </row>
    <row r="46" customFormat="false" ht="15" hidden="false" customHeight="false" outlineLevel="0" collapsed="false">
      <c r="A46" s="73" t="s">
        <v>1930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57" t="s">
        <v>357</v>
      </c>
      <c r="B47" s="57" t="s">
        <v>77</v>
      </c>
      <c r="C47" s="10" t="s">
        <v>249</v>
      </c>
      <c r="D47" s="10" t="s">
        <v>250</v>
      </c>
      <c r="E47" s="10" t="s">
        <v>251</v>
      </c>
      <c r="H47" s="57" t="s">
        <v>81</v>
      </c>
      <c r="I47" s="57" t="s">
        <v>325</v>
      </c>
    </row>
    <row r="48" customFormat="false" ht="26.85" hidden="false" customHeight="false" outlineLevel="0" collapsed="false">
      <c r="A48" s="59" t="s">
        <v>1931</v>
      </c>
      <c r="B48" s="59" t="s">
        <v>1150</v>
      </c>
      <c r="C48" s="75" t="n">
        <v>1.5</v>
      </c>
      <c r="D48" s="75" t="n">
        <v>8</v>
      </c>
      <c r="E48" s="75" t="n">
        <v>16</v>
      </c>
      <c r="H48" s="56" t="s">
        <v>98</v>
      </c>
      <c r="I48" s="85" t="s">
        <v>1932</v>
      </c>
    </row>
    <row r="49" customFormat="false" ht="15" hidden="false" customHeight="false" outlineLevel="0" collapsed="false">
      <c r="A49" s="59" t="s">
        <v>1933</v>
      </c>
      <c r="B49" s="59" t="s">
        <v>1150</v>
      </c>
      <c r="C49" s="75" t="n">
        <v>0.5</v>
      </c>
      <c r="D49" s="75" t="n">
        <v>4</v>
      </c>
      <c r="E49" s="75" t="n">
        <v>11</v>
      </c>
      <c r="H49" s="56" t="s">
        <v>98</v>
      </c>
      <c r="I49" s="91"/>
    </row>
    <row r="50" customFormat="false" ht="15" hidden="false" customHeight="false" outlineLevel="0" collapsed="false">
      <c r="A50" s="59" t="s">
        <v>1934</v>
      </c>
      <c r="B50" s="59" t="s">
        <v>1150</v>
      </c>
      <c r="C50" s="75" t="n">
        <v>4</v>
      </c>
      <c r="D50" s="75" t="n">
        <v>12</v>
      </c>
      <c r="E50" s="75" t="n">
        <v>40</v>
      </c>
      <c r="H50" s="56" t="s">
        <v>98</v>
      </c>
      <c r="I50" s="85" t="s">
        <v>1935</v>
      </c>
    </row>
    <row r="51" customFormat="false" ht="26.85" hidden="false" customHeight="false" outlineLevel="0" collapsed="false">
      <c r="A51" s="58" t="s">
        <v>1936</v>
      </c>
      <c r="B51" s="59" t="s">
        <v>97</v>
      </c>
      <c r="C51" s="76" t="n">
        <v>0.75</v>
      </c>
      <c r="D51" s="76" t="n">
        <v>0.65</v>
      </c>
      <c r="E51" s="76" t="n">
        <v>1</v>
      </c>
      <c r="H51" s="56" t="s">
        <v>141</v>
      </c>
      <c r="I51" s="91" t="s">
        <v>1937</v>
      </c>
    </row>
    <row r="52" customFormat="false" ht="30" hidden="false" customHeight="true" outlineLevel="0" collapsed="false">
      <c r="A52" s="57" t="s">
        <v>1938</v>
      </c>
      <c r="B52" s="57" t="s">
        <v>77</v>
      </c>
      <c r="C52" s="163" t="str">
        <f aca="false">Workload!C4</f>
        <v>一般聊天</v>
      </c>
      <c r="D52" s="163" t="str">
        <f aca="false">Workload!D4</f>
        <v>推理聊天</v>
      </c>
      <c r="E52" s="163" t="str">
        <f aca="false">Workload!E4</f>
        <v>單代理（工具迴圈）</v>
      </c>
      <c r="F52" s="163" t="str">
        <f aca="false">Workload!F4</f>
        <v>多代理研究</v>
      </c>
      <c r="G52" s="163" t="str">
        <f aca="false">Workload!G4</f>
        <v>Coding agent（長程）</v>
      </c>
    </row>
    <row r="53" customFormat="false" ht="15" hidden="false" customHeight="false" outlineLevel="0" collapsed="false">
      <c r="A53" s="58" t="s">
        <v>1939</v>
      </c>
      <c r="B53" s="59" t="s">
        <v>1150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6" t="s">
        <v>94</v>
      </c>
      <c r="I53" s="71" t="s">
        <v>1940</v>
      </c>
    </row>
    <row r="54" customFormat="false" ht="15" hidden="false" customHeight="false" outlineLevel="0" collapsed="false">
      <c r="A54" s="58" t="s">
        <v>1941</v>
      </c>
      <c r="B54" s="58"/>
      <c r="C54" s="103" t="s">
        <v>1942</v>
      </c>
      <c r="D54" s="103" t="s">
        <v>1942</v>
      </c>
      <c r="E54" s="103" t="s">
        <v>1942</v>
      </c>
      <c r="F54" s="103" t="s">
        <v>1943</v>
      </c>
      <c r="G54" s="103" t="s">
        <v>1943</v>
      </c>
      <c r="I54" s="56" t="s">
        <v>1944</v>
      </c>
    </row>
    <row r="55" customFormat="false" ht="15" hidden="false" customHeight="false" outlineLevel="0" collapsed="false">
      <c r="A55" s="58" t="s">
        <v>1945</v>
      </c>
      <c r="B55" s="59" t="s">
        <v>93</v>
      </c>
      <c r="C55" s="63"/>
      <c r="D55" s="63"/>
      <c r="E55" s="63"/>
      <c r="F55" s="63"/>
      <c r="G55" s="63"/>
      <c r="I55" s="71" t="s">
        <v>1946</v>
      </c>
    </row>
    <row r="56" customFormat="false" ht="15" hidden="false" customHeight="false" outlineLevel="0" collapsed="false">
      <c r="A56" s="58" t="s">
        <v>1947</v>
      </c>
      <c r="B56" s="59" t="s">
        <v>93</v>
      </c>
      <c r="C56" s="63"/>
      <c r="D56" s="63"/>
      <c r="E56" s="63"/>
      <c r="F56" s="63"/>
      <c r="G56" s="63"/>
      <c r="I56" s="71" t="s">
        <v>1946</v>
      </c>
    </row>
    <row r="57" customFormat="false" ht="15" hidden="false" customHeight="false" outlineLevel="0" collapsed="false">
      <c r="A57" s="58" t="s">
        <v>1948</v>
      </c>
      <c r="B57" s="59" t="s">
        <v>93</v>
      </c>
      <c r="C57" s="63"/>
      <c r="D57" s="63"/>
      <c r="E57" s="63"/>
      <c r="F57" s="63"/>
      <c r="G57" s="63"/>
      <c r="I57" s="71" t="s">
        <v>1946</v>
      </c>
    </row>
    <row r="59" customFormat="false" ht="15" hidden="false" customHeight="false" outlineLevel="0" collapsed="false">
      <c r="A59" s="73" t="s">
        <v>1949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57" t="s">
        <v>76</v>
      </c>
      <c r="C60" s="57" t="s">
        <v>1137</v>
      </c>
      <c r="D60" s="57" t="s">
        <v>1138</v>
      </c>
      <c r="I60" s="57" t="s">
        <v>325</v>
      </c>
    </row>
    <row r="61" customFormat="false" ht="15" hidden="false" customHeight="false" outlineLevel="0" collapsed="false">
      <c r="A61" s="58" t="s">
        <v>1905</v>
      </c>
      <c r="C61" s="76" t="n">
        <v>0.5</v>
      </c>
      <c r="D61" s="76" t="n">
        <v>1</v>
      </c>
      <c r="H61" s="56" t="s">
        <v>94</v>
      </c>
      <c r="I61" s="71"/>
    </row>
    <row r="62" customFormat="false" ht="15" hidden="false" customHeight="false" outlineLevel="0" collapsed="false">
      <c r="A62" s="58" t="s">
        <v>1910</v>
      </c>
      <c r="C62" s="76" t="n">
        <v>0.6</v>
      </c>
      <c r="D62" s="76" t="n">
        <v>1</v>
      </c>
      <c r="H62" s="56" t="s">
        <v>94</v>
      </c>
      <c r="I62" s="71"/>
    </row>
    <row r="63" customFormat="false" ht="15" hidden="false" customHeight="false" outlineLevel="0" collapsed="false">
      <c r="A63" s="58" t="s">
        <v>1907</v>
      </c>
      <c r="C63" s="63" t="n">
        <v>0.5</v>
      </c>
      <c r="D63" s="63" t="n">
        <v>1</v>
      </c>
      <c r="H63" s="56" t="s">
        <v>94</v>
      </c>
      <c r="I63" s="71"/>
    </row>
    <row r="64" customFormat="false" ht="15" hidden="false" customHeight="false" outlineLevel="0" collapsed="false">
      <c r="A64" s="58" t="s">
        <v>1950</v>
      </c>
      <c r="C64" s="76" t="n">
        <v>0.5</v>
      </c>
      <c r="D64" s="76" t="n">
        <v>1</v>
      </c>
      <c r="H64" s="56" t="s">
        <v>94</v>
      </c>
      <c r="I64" s="71"/>
    </row>
    <row r="65" customFormat="false" ht="15" hidden="false" customHeight="false" outlineLevel="0" collapsed="false">
      <c r="A65" s="58" t="s">
        <v>1951</v>
      </c>
      <c r="C65" s="76" t="n">
        <v>1</v>
      </c>
      <c r="D65" s="76" t="n">
        <v>4</v>
      </c>
      <c r="H65" s="56" t="s">
        <v>94</v>
      </c>
      <c r="I65" s="56" t="s">
        <v>1952</v>
      </c>
    </row>
    <row r="66" customFormat="false" ht="15" hidden="false" customHeight="false" outlineLevel="0" collapsed="false">
      <c r="A66" s="58" t="s">
        <v>1919</v>
      </c>
      <c r="C66" s="146" t="n">
        <v>0.0833333333333333</v>
      </c>
      <c r="D66" s="146" t="n">
        <v>2</v>
      </c>
      <c r="H66" s="56" t="s">
        <v>94</v>
      </c>
      <c r="I66" s="56" t="s">
        <v>1150</v>
      </c>
    </row>
    <row r="68" customFormat="false" ht="15" hidden="false" customHeight="false" outlineLevel="0" collapsed="false">
      <c r="A68" s="73" t="s">
        <v>1953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57" t="s">
        <v>1954</v>
      </c>
      <c r="B69" s="57" t="s">
        <v>77</v>
      </c>
      <c r="C69" s="57" t="s">
        <v>1955</v>
      </c>
      <c r="D69" s="57" t="s">
        <v>1956</v>
      </c>
      <c r="E69" s="10" t="s">
        <v>1957</v>
      </c>
      <c r="H69" s="57" t="s">
        <v>81</v>
      </c>
      <c r="I69" s="57" t="s">
        <v>82</v>
      </c>
    </row>
    <row r="70" customFormat="false" ht="39.55" hidden="false" customHeight="false" outlineLevel="0" collapsed="false">
      <c r="A70" s="6" t="s">
        <v>1958</v>
      </c>
      <c r="C70" s="107" t="n">
        <f aca="false">SRC_HAR_003</f>
        <v>0.627</v>
      </c>
      <c r="D70" s="60" t="n">
        <f aca="false">SRC_HAR_004</f>
        <v>26098</v>
      </c>
      <c r="H70" s="85" t="s">
        <v>1959</v>
      </c>
      <c r="I70" s="85" t="s">
        <v>1960</v>
      </c>
    </row>
    <row r="71" customFormat="false" ht="29.85" hidden="false" customHeight="false" outlineLevel="0" collapsed="false">
      <c r="A71" s="6" t="s">
        <v>1961</v>
      </c>
      <c r="C71" s="107" t="n">
        <f aca="false">SRC_HAR_005</f>
        <v>0.986</v>
      </c>
      <c r="D71" s="60" t="n">
        <f aca="false">SRC_HAR_006</f>
        <v>17332</v>
      </c>
      <c r="H71" s="85" t="s">
        <v>1962</v>
      </c>
      <c r="I71" s="85" t="s">
        <v>1960</v>
      </c>
    </row>
    <row r="72" customFormat="false" ht="29.85" hidden="false" customHeight="false" outlineLevel="0" collapsed="false">
      <c r="A72" s="6" t="s">
        <v>1963</v>
      </c>
      <c r="C72" s="107" t="n">
        <f aca="false">SRC_HAR_007</f>
        <v>0.999</v>
      </c>
      <c r="D72" s="60" t="n">
        <f aca="false">SRC_HAR_008</f>
        <v>18817</v>
      </c>
      <c r="E72" s="95" t="n">
        <f aca="false">SRC_HAR_010</f>
        <v>0.51</v>
      </c>
      <c r="H72" s="85" t="s">
        <v>1962</v>
      </c>
      <c r="I72" s="85" t="s">
        <v>1964</v>
      </c>
    </row>
    <row r="73" customFormat="false" ht="26.85" hidden="false" customHeight="false" outlineLevel="0" collapsed="false">
      <c r="A73" s="6" t="s">
        <v>1965</v>
      </c>
      <c r="C73" s="107" t="n">
        <f aca="false">SRC_HAR_012</f>
        <v>0.302</v>
      </c>
      <c r="H73" s="85" t="s">
        <v>1962</v>
      </c>
      <c r="I73" s="85" t="s">
        <v>1960</v>
      </c>
    </row>
    <row r="74" customFormat="false" ht="24.6" hidden="false" customHeight="false" outlineLevel="0" collapsed="false">
      <c r="A74" s="6" t="s">
        <v>1966</v>
      </c>
      <c r="C74" s="107" t="n">
        <f aca="false">SRC_HAR_015</f>
        <v>1</v>
      </c>
      <c r="H74" s="85" t="s">
        <v>1967</v>
      </c>
      <c r="I74" s="85" t="s">
        <v>1968</v>
      </c>
    </row>
    <row r="75" customFormat="false" ht="26.85" hidden="false" customHeight="false" outlineLevel="0" collapsed="false">
      <c r="A75" s="6" t="s">
        <v>1969</v>
      </c>
      <c r="E75" s="95" t="n">
        <f aca="false">SRC_HAR_002/SRC_HAR_001</f>
        <v>3.75</v>
      </c>
      <c r="H75" s="85" t="s">
        <v>1970</v>
      </c>
      <c r="I75" s="85" t="s">
        <v>1971</v>
      </c>
    </row>
    <row r="76" customFormat="false" ht="15" hidden="false" customHeight="false" outlineLevel="0" collapsed="false">
      <c r="A76" s="10" t="s">
        <v>1972</v>
      </c>
      <c r="B76" s="57"/>
      <c r="C76" s="10" t="s">
        <v>1973</v>
      </c>
      <c r="D76" s="10" t="s">
        <v>1974</v>
      </c>
      <c r="E76" s="57" t="s">
        <v>1975</v>
      </c>
      <c r="F76" s="57" t="s">
        <v>1976</v>
      </c>
      <c r="H76" s="57" t="s">
        <v>81</v>
      </c>
      <c r="I76" s="57" t="s">
        <v>451</v>
      </c>
    </row>
    <row r="77" customFormat="false" ht="15" hidden="false" customHeight="false" outlineLevel="0" collapsed="false">
      <c r="A77" s="59" t="s">
        <v>1977</v>
      </c>
      <c r="C77" s="95" t="n">
        <f aca="false">SRC_CAP_012</f>
        <v>3.5667</v>
      </c>
      <c r="D77" s="95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6" t="s">
        <v>1978</v>
      </c>
      <c r="I77" s="56" t="s">
        <v>1979</v>
      </c>
    </row>
    <row r="78" customFormat="false" ht="15" hidden="false" customHeight="false" outlineLevel="0" collapsed="false">
      <c r="A78" s="59" t="s">
        <v>1980</v>
      </c>
      <c r="C78" s="95" t="n">
        <f aca="false">SRC_CAP_014</f>
        <v>6.5667</v>
      </c>
      <c r="D78" s="95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6" t="s">
        <v>1978</v>
      </c>
      <c r="I78" s="56" t="s">
        <v>1979</v>
      </c>
    </row>
    <row r="79" customFormat="false" ht="15" hidden="false" customHeight="false" outlineLevel="0" collapsed="false">
      <c r="A79" s="59" t="s">
        <v>1981</v>
      </c>
      <c r="C79" s="95" t="n">
        <f aca="false">SRC_CAP_016</f>
        <v>5.7</v>
      </c>
      <c r="D79" s="95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6" t="s">
        <v>1978</v>
      </c>
      <c r="I79" s="56" t="s">
        <v>1979</v>
      </c>
    </row>
    <row r="80" customFormat="false" ht="15" hidden="false" customHeight="false" outlineLevel="0" collapsed="false">
      <c r="A80" s="59" t="s">
        <v>1982</v>
      </c>
      <c r="C80" s="95" t="n">
        <f aca="false">SRC_CAP_018</f>
        <v>5.8333</v>
      </c>
      <c r="D80" s="95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6" t="s">
        <v>1978</v>
      </c>
      <c r="I80" s="56" t="s">
        <v>1979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5" t="s">
        <v>1983</v>
      </c>
    </row>
    <row r="2" customFormat="false" ht="15" hidden="false" customHeight="false" outlineLevel="0" collapsed="false">
      <c r="A2" s="71" t="s">
        <v>1984</v>
      </c>
    </row>
    <row r="4" customFormat="false" ht="30" hidden="false" customHeight="true" outlineLevel="0" collapsed="false">
      <c r="A4" s="57" t="s">
        <v>357</v>
      </c>
      <c r="B4" s="57" t="s">
        <v>77</v>
      </c>
      <c r="C4" s="163" t="str">
        <f aca="false">Workload!C4</f>
        <v>一般聊天</v>
      </c>
      <c r="D4" s="163" t="str">
        <f aca="false">Workload!D4</f>
        <v>推理聊天</v>
      </c>
      <c r="E4" s="163" t="str">
        <f aca="false">Workload!E4</f>
        <v>單代理（工具迴圈）</v>
      </c>
      <c r="F4" s="163" t="str">
        <f aca="false">Workload!F4</f>
        <v>多代理研究</v>
      </c>
      <c r="G4" s="163" t="str">
        <f aca="false">Workload!G4</f>
        <v>Coding agent（長程）</v>
      </c>
    </row>
    <row r="5" customFormat="false" ht="15" hidden="false" customHeight="false" outlineLevel="0" collapsed="false">
      <c r="A5" s="73" t="s">
        <v>1985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57" t="s">
        <v>1986</v>
      </c>
    </row>
    <row r="7" customFormat="false" ht="15" hidden="false" customHeight="false" outlineLevel="0" collapsed="false">
      <c r="A7" s="5" t="s">
        <v>378</v>
      </c>
      <c r="B7" s="58" t="s">
        <v>379</v>
      </c>
      <c r="C7" s="96" t="n">
        <f aca="false">Workload!C5</f>
        <v>1</v>
      </c>
      <c r="D7" s="96" t="n">
        <f aca="false">Workload!D5</f>
        <v>1</v>
      </c>
      <c r="E7" s="96" t="n">
        <f aca="false">Workload!E5</f>
        <v>4</v>
      </c>
      <c r="F7" s="96" t="n">
        <f aca="false">Workload!F5</f>
        <v>4</v>
      </c>
      <c r="G7" s="96" t="n">
        <f aca="false">Workload!G5</f>
        <v>30</v>
      </c>
    </row>
    <row r="8" customFormat="false" ht="15" hidden="false" customHeight="false" outlineLevel="0" collapsed="false">
      <c r="A8" s="5" t="s">
        <v>1987</v>
      </c>
      <c r="B8" s="59" t="s">
        <v>279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1907</v>
      </c>
      <c r="B9" s="59" t="s">
        <v>93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1988</v>
      </c>
      <c r="B10" s="59" t="s">
        <v>93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1989</v>
      </c>
      <c r="B11" s="58" t="s">
        <v>316</v>
      </c>
      <c r="C11" s="106" t="n">
        <f aca="false">Workload!C12</f>
        <v>0</v>
      </c>
      <c r="D11" s="106" t="n">
        <f aca="false">Workload!D12</f>
        <v>0</v>
      </c>
      <c r="E11" s="106" t="n">
        <f aca="false">Workload!E12</f>
        <v>0</v>
      </c>
      <c r="F11" s="106" t="n">
        <f aca="false">Workload!F12</f>
        <v>3</v>
      </c>
      <c r="G11" s="106" t="n">
        <f aca="false">Workload!G12</f>
        <v>0</v>
      </c>
    </row>
    <row r="12" customFormat="false" ht="15" hidden="false" customHeight="false" outlineLevel="0" collapsed="false">
      <c r="A12" s="5" t="s">
        <v>1950</v>
      </c>
      <c r="B12" s="59" t="s">
        <v>97</v>
      </c>
      <c r="C12" s="95" t="n">
        <f aca="false">Workload!C14</f>
        <v>1</v>
      </c>
      <c r="D12" s="95" t="n">
        <f aca="false">Workload!D14</f>
        <v>1</v>
      </c>
      <c r="E12" s="95" t="n">
        <f aca="false">Workload!E14</f>
        <v>1</v>
      </c>
      <c r="F12" s="95" t="n">
        <f aca="false">Workload!F14</f>
        <v>1</v>
      </c>
      <c r="G12" s="95" t="n">
        <f aca="false">Workload!G14</f>
        <v>1</v>
      </c>
    </row>
    <row r="13" customFormat="false" ht="15" hidden="false" customHeight="false" outlineLevel="0" collapsed="false">
      <c r="A13" s="5" t="s">
        <v>405</v>
      </c>
      <c r="B13" s="59" t="s">
        <v>279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406</v>
      </c>
      <c r="B14" s="59" t="s">
        <v>279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1990</v>
      </c>
      <c r="B15" s="59" t="s">
        <v>279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1991</v>
      </c>
      <c r="B16" s="59" t="s">
        <v>279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1992</v>
      </c>
      <c r="B17" s="59" t="s">
        <v>97</v>
      </c>
      <c r="C17" s="95" t="n">
        <f aca="false">(1+C11)*Workload!C13</f>
        <v>1</v>
      </c>
      <c r="D17" s="95" t="n">
        <f aca="false">(1+D11)*Workload!D13</f>
        <v>1</v>
      </c>
      <c r="E17" s="95" t="n">
        <f aca="false">(1+E11)*Workload!E13</f>
        <v>1</v>
      </c>
      <c r="F17" s="95" t="n">
        <f aca="false">(1+F11)*Workload!F13</f>
        <v>4</v>
      </c>
      <c r="G17" s="95" t="n">
        <f aca="false">(1+G11)*Workload!G13</f>
        <v>1</v>
      </c>
    </row>
    <row r="18" customFormat="false" ht="15" hidden="false" customHeight="false" outlineLevel="0" collapsed="false">
      <c r="A18" s="5" t="s">
        <v>411</v>
      </c>
      <c r="B18" s="59" t="s">
        <v>279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412</v>
      </c>
      <c r="B19" s="59" t="s">
        <v>279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413</v>
      </c>
      <c r="B20" s="59" t="s">
        <v>279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414</v>
      </c>
      <c r="B21" s="59" t="s">
        <v>279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57" t="s">
        <v>1993</v>
      </c>
    </row>
    <row r="24" customFormat="false" ht="15" hidden="false" customHeight="false" outlineLevel="0" collapsed="false">
      <c r="A24" s="5" t="s">
        <v>378</v>
      </c>
      <c r="B24" s="58" t="s">
        <v>379</v>
      </c>
      <c r="C24" s="96" t="n">
        <f aca="false">Workload!C5*INDEX(B5_SelT,1,1)</f>
        <v>1</v>
      </c>
      <c r="D24" s="96" t="n">
        <f aca="false">Workload!D5*INDEX(B5_SelT,1,2)</f>
        <v>1</v>
      </c>
      <c r="E24" s="96" t="n">
        <f aca="false">Workload!E5*INDEX(B5_SelT,1,3)</f>
        <v>2.8</v>
      </c>
      <c r="F24" s="96" t="n">
        <f aca="false">Workload!F5*INDEX(B5_SelT,1,4)</f>
        <v>2.8</v>
      </c>
      <c r="G24" s="96" t="n">
        <f aca="false">Workload!G5*INDEX(B5_SelT,1,5)</f>
        <v>21</v>
      </c>
    </row>
    <row r="25" customFormat="false" ht="15" hidden="false" customHeight="false" outlineLevel="0" collapsed="false">
      <c r="A25" s="5" t="s">
        <v>1987</v>
      </c>
      <c r="B25" s="59" t="s">
        <v>279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1907</v>
      </c>
      <c r="B26" s="59" t="s">
        <v>93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1988</v>
      </c>
      <c r="B27" s="59" t="s">
        <v>93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1989</v>
      </c>
      <c r="B28" s="58" t="s">
        <v>316</v>
      </c>
      <c r="C28" s="106" t="n">
        <f aca="false">Workload!C12+INDEX(B5_SelDM,1,1)</f>
        <v>0</v>
      </c>
      <c r="D28" s="106" t="n">
        <f aca="false">Workload!D12+INDEX(B5_SelDM,1,2)</f>
        <v>0</v>
      </c>
      <c r="E28" s="106" t="n">
        <f aca="false">Workload!E12+INDEX(B5_SelDM,1,3)</f>
        <v>0</v>
      </c>
      <c r="F28" s="106" t="n">
        <f aca="false">Workload!F12+INDEX(B5_SelDM,1,4)</f>
        <v>3</v>
      </c>
      <c r="G28" s="106" t="n">
        <f aca="false">Workload!G12+INDEX(B5_SelDM,1,5)</f>
        <v>0</v>
      </c>
    </row>
    <row r="29" customFormat="false" ht="15" hidden="false" customHeight="false" outlineLevel="0" collapsed="false">
      <c r="A29" s="5" t="s">
        <v>1950</v>
      </c>
      <c r="B29" s="59" t="s">
        <v>97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405</v>
      </c>
      <c r="B30" s="59" t="s">
        <v>279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406</v>
      </c>
      <c r="B31" s="59" t="s">
        <v>279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1990</v>
      </c>
      <c r="B32" s="59" t="s">
        <v>279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1991</v>
      </c>
      <c r="B33" s="59" t="s">
        <v>279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1992</v>
      </c>
      <c r="B34" s="59" t="s">
        <v>97</v>
      </c>
      <c r="C34" s="95" t="n">
        <f aca="false">(1+C28)*Workload!C13</f>
        <v>1</v>
      </c>
      <c r="D34" s="95" t="n">
        <f aca="false">(1+D28)*Workload!D13</f>
        <v>1</v>
      </c>
      <c r="E34" s="95" t="n">
        <f aca="false">(1+E28)*Workload!E13</f>
        <v>1</v>
      </c>
      <c r="F34" s="95" t="n">
        <f aca="false">(1+F28)*Workload!F13</f>
        <v>4</v>
      </c>
      <c r="G34" s="95" t="n">
        <f aca="false">(1+G28)*Workload!G13</f>
        <v>1</v>
      </c>
    </row>
    <row r="35" customFormat="false" ht="15" hidden="false" customHeight="false" outlineLevel="0" collapsed="false">
      <c r="A35" s="5" t="s">
        <v>411</v>
      </c>
      <c r="B35" s="59" t="s">
        <v>279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412</v>
      </c>
      <c r="B36" s="59" t="s">
        <v>279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413</v>
      </c>
      <c r="B37" s="59" t="s">
        <v>279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414</v>
      </c>
      <c r="B38" s="59" t="s">
        <v>279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57" t="s">
        <v>1994</v>
      </c>
    </row>
    <row r="41" customFormat="false" ht="15" hidden="false" customHeight="false" outlineLevel="0" collapsed="false">
      <c r="A41" s="5" t="s">
        <v>411</v>
      </c>
      <c r="B41" s="59" t="s">
        <v>279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412</v>
      </c>
      <c r="B42" s="59" t="s">
        <v>279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413</v>
      </c>
      <c r="B43" s="59" t="s">
        <v>279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414</v>
      </c>
      <c r="B44" s="59" t="s">
        <v>279</v>
      </c>
      <c r="C44" s="164" t="n">
        <f aca="false">Workload!C35</f>
        <v>3000</v>
      </c>
      <c r="D44" s="164" t="n">
        <f aca="false">Workload!D35</f>
        <v>6200</v>
      </c>
      <c r="E44" s="164" t="n">
        <f aca="false">Workload!E35</f>
        <v>27600</v>
      </c>
      <c r="F44" s="164" t="n">
        <f aca="false">Workload!F35</f>
        <v>110400</v>
      </c>
      <c r="G44" s="164" t="n">
        <f aca="false">Workload!G35</f>
        <v>1494000</v>
      </c>
    </row>
    <row r="45" customFormat="false" ht="15" hidden="false" customHeight="false" outlineLevel="0" collapsed="false">
      <c r="A45" s="5" t="s">
        <v>1995</v>
      </c>
      <c r="B45" s="59" t="s">
        <v>97</v>
      </c>
      <c r="C45" s="102" t="n">
        <f aca="false">C38/C21</f>
        <v>1</v>
      </c>
      <c r="D45" s="102" t="n">
        <f aca="false">D38/D21</f>
        <v>1</v>
      </c>
      <c r="E45" s="102" t="n">
        <f aca="false">E38/E21</f>
        <v>0.588771014492754</v>
      </c>
      <c r="F45" s="102" t="n">
        <f aca="false">F38/F21</f>
        <v>0.588771014492754</v>
      </c>
      <c r="G45" s="102" t="n">
        <f aca="false">G38/G21</f>
        <v>0.492530120481928</v>
      </c>
      <c r="H45" s="85" t="s">
        <v>1996</v>
      </c>
    </row>
    <row r="47" customFormat="false" ht="15" hidden="false" customHeight="false" outlineLevel="0" collapsed="false">
      <c r="A47" s="73" t="s">
        <v>1997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1998</v>
      </c>
      <c r="B48" s="59" t="s">
        <v>1150</v>
      </c>
      <c r="C48" s="112" t="n">
        <f aca="false">B4_Retain</f>
        <v>0.0833333333333333</v>
      </c>
      <c r="D48" s="112" t="n">
        <f aca="false">B4_Retain</f>
        <v>0.0833333333333333</v>
      </c>
      <c r="E48" s="112" t="n">
        <f aca="false">B4_Retain</f>
        <v>0.0833333333333333</v>
      </c>
      <c r="F48" s="112" t="n">
        <f aca="false">B4_Retain</f>
        <v>0.0833333333333333</v>
      </c>
      <c r="G48" s="112" t="n">
        <f aca="false">B4_Retain</f>
        <v>0.0833333333333333</v>
      </c>
    </row>
    <row r="49" customFormat="false" ht="15" hidden="false" customHeight="false" outlineLevel="0" collapsed="false">
      <c r="A49" s="5" t="s">
        <v>1999</v>
      </c>
      <c r="B49" s="59" t="s">
        <v>1150</v>
      </c>
      <c r="C49" s="112" t="n">
        <f aca="false">B4_Retain+B5_W*(INDEX(B5_SelRet,1,1)-B4_Retain)</f>
        <v>0.0833333333333333</v>
      </c>
      <c r="D49" s="112" t="n">
        <f aca="false">B4_Retain+B5_W*(INDEX(B5_SelRet,1,2)-B4_Retain)</f>
        <v>0.0833333333333333</v>
      </c>
      <c r="E49" s="112" t="n">
        <f aca="false">B4_Retain+B5_W*(INDEX(B5_SelRet,1,3)-B4_Retain)</f>
        <v>0.0833333333333333</v>
      </c>
      <c r="F49" s="112" t="n">
        <f aca="false">B4_Retain+B5_W*(INDEX(B5_SelRet,1,4)-B4_Retain)</f>
        <v>0.0833333333333333</v>
      </c>
      <c r="G49" s="112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2000</v>
      </c>
      <c r="B50" s="59" t="s">
        <v>1150</v>
      </c>
      <c r="C50" s="112" t="n">
        <f aca="false">INDEX(B5_SelRet,1,1)</f>
        <v>0.0833333333333333</v>
      </c>
      <c r="D50" s="112" t="n">
        <f aca="false">INDEX(B5_SelRet,1,2)</f>
        <v>0.0833333333333333</v>
      </c>
      <c r="E50" s="112" t="n">
        <f aca="false">INDEX(B5_SelRet,1,3)</f>
        <v>0.67</v>
      </c>
      <c r="F50" s="112" t="n">
        <f aca="false">INDEX(B5_SelRet,1,4)</f>
        <v>0.67</v>
      </c>
      <c r="G50" s="112" t="n">
        <f aca="false">INDEX(B5_SelRet,1,5)</f>
        <v>0.67</v>
      </c>
    </row>
    <row r="51" customFormat="false" ht="15" hidden="false" customHeight="false" outlineLevel="0" collapsed="false">
      <c r="A51" s="5" t="s">
        <v>2001</v>
      </c>
      <c r="B51" s="59" t="s">
        <v>97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2002</v>
      </c>
      <c r="B52" s="59" t="s">
        <v>97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2003</v>
      </c>
      <c r="B53" s="59" t="s">
        <v>97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2004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2005</v>
      </c>
      <c r="B56" s="59" t="s">
        <v>93</v>
      </c>
      <c r="C56" s="101" t="n">
        <f aca="false">IF(ISNUMBER(INDEX(B5_SuccOvr_Luna,1,1)),INDEX(B5_SuccOvr_Luna,1,1),1/(1+(INDEX(B5_TaskLen,1,1)/(INDEX(B5_H50,1,1)*C51))^B5_Beta))</f>
        <v>0.962243725044712</v>
      </c>
      <c r="D56" s="101" t="n">
        <f aca="false">IF(ISNUMBER(INDEX(B5_SuccOvr_Luna,1,2)),INDEX(B5_SuccOvr_Luna,1,2),1/(1+(INDEX(B5_TaskLen,1,2)/(INDEX(B5_H50,1,1)*D51))^B5_Beta))</f>
        <v>0.884017511243649</v>
      </c>
      <c r="E56" s="101" t="n">
        <f aca="false">IF(ISNUMBER(INDEX(B5_SuccOvr_Luna,1,3)),INDEX(B5_SuccOvr_Luna,1,3),1/(1+(INDEX(B5_TaskLen,1,3)/(INDEX(B5_H50,1,1)*E51))^B5_Beta))</f>
        <v>0.695076124968439</v>
      </c>
      <c r="F56" s="101" t="n">
        <f aca="false">IF(ISNUMBER(INDEX(B5_SuccOvr_Luna,1,4)),INDEX(B5_SuccOvr_Luna,1,4),1/(1+(INDEX(B5_TaskLen,1,4)/(INDEX(B5_H50,1,1)*F51))^B5_Beta))</f>
        <v>0.446267899285204</v>
      </c>
      <c r="G56" s="101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2006</v>
      </c>
      <c r="B57" s="59" t="s">
        <v>93</v>
      </c>
      <c r="C57" s="99" t="n">
        <f aca="false">IF(ISNUMBER(INDEX(B5_SuccOvr_Luna,1,1)),INDEX(B5_SuccOvr_Luna,1,1),1/(1+(INDEX(B5_TaskLen,1,1)/(INDEX(B5_H50,1,1)*C52))^B5_Beta))</f>
        <v>0.962243725044712</v>
      </c>
      <c r="D57" s="99" t="n">
        <f aca="false">IF(ISNUMBER(INDEX(B5_SuccOvr_Luna,1,2)),INDEX(B5_SuccOvr_Luna,1,2),1/(1+(INDEX(B5_TaskLen,1,2)/(INDEX(B5_H50,1,1)*D52))^B5_Beta))</f>
        <v>0.884017511243649</v>
      </c>
      <c r="E57" s="99" t="n">
        <f aca="false">IF(ISNUMBER(INDEX(B5_SuccOvr_Luna,1,3)),INDEX(B5_SuccOvr_Luna,1,3),1/(1+(INDEX(B5_TaskLen,1,3)/(INDEX(B5_H50,1,1)*E52))^B5_Beta))</f>
        <v>0.695076124968439</v>
      </c>
      <c r="F57" s="99" t="n">
        <f aca="false">IF(ISNUMBER(INDEX(B5_SuccOvr_Luna,1,4)),INDEX(B5_SuccOvr_Luna,1,4),1/(1+(INDEX(B5_TaskLen,1,4)/(INDEX(B5_H50,1,1)*F52))^B5_Beta))</f>
        <v>0.446267899285204</v>
      </c>
      <c r="G57" s="99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2007</v>
      </c>
      <c r="B58" s="59" t="s">
        <v>93</v>
      </c>
      <c r="C58" s="101" t="n">
        <f aca="false">IF(ISNUMBER(INDEX(B5_SuccOvr_Luna,1,1)),INDEX(B5_SuccOvr_Luna,1,1),1/(1+(INDEX(B5_TaskLen,1,1)/(INDEX(B5_H50,1,1)*C53))^B5_Beta))</f>
        <v>0.962243725044712</v>
      </c>
      <c r="D58" s="101" t="n">
        <f aca="false">IF(ISNUMBER(INDEX(B5_SuccOvr_Luna,1,2)),INDEX(B5_SuccOvr_Luna,1,2),1/(1+(INDEX(B5_TaskLen,1,2)/(INDEX(B5_H50,1,1)*D53))^B5_Beta))</f>
        <v>0.884017511243649</v>
      </c>
      <c r="E58" s="101" t="n">
        <f aca="false">IF(ISNUMBER(INDEX(B5_SuccOvr_Luna,1,3)),INDEX(B5_SuccOvr_Luna,1,3),1/(1+(INDEX(B5_TaskLen,1,3)/(INDEX(B5_H50,1,1)*E53))^B5_Beta))</f>
        <v>0.723262011773013</v>
      </c>
      <c r="F58" s="101" t="n">
        <f aca="false">IF(ISNUMBER(INDEX(B5_SuccOvr_Luna,1,4)),INDEX(B5_SuccOvr_Luna,1,4),1/(1+(INDEX(B5_TaskLen,1,4)/(INDEX(B5_H50,1,1)*F53))^B5_Beta))</f>
        <v>0.575444203093429</v>
      </c>
      <c r="G58" s="101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2008</v>
      </c>
      <c r="B59" s="59" t="s">
        <v>93</v>
      </c>
      <c r="C59" s="101" t="n">
        <f aca="false">IF(ISNUMBER(INDEX(B5_SuccOvr_Sol,1,1)),INDEX(B5_SuccOvr_Sol,1,1),1/(1+(INDEX(B5_TaskLen,1,1)/(INDEX(B5_H50,1,2)*C51))^B5_Beta))</f>
        <v>0.988943278022254</v>
      </c>
      <c r="D59" s="101" t="n">
        <f aca="false">IF(ISNUMBER(INDEX(B5_SuccOvr_Sol,1,2)),INDEX(B5_SuccOvr_Sol,1,2),1/(1+(INDEX(B5_TaskLen,1,2)/(INDEX(B5_H50,1,2)*D51))^B5_Beta))</f>
        <v>0.963963460360214</v>
      </c>
      <c r="E59" s="101" t="n">
        <f aca="false">IF(ISNUMBER(INDEX(B5_SuccOvr_Sol,1,3)),INDEX(B5_SuccOvr_Sol,1,3),1/(1+(INDEX(B5_TaskLen,1,3)/(INDEX(B5_H50,1,2)*E51))^B5_Beta))</f>
        <v>0.888888888888889</v>
      </c>
      <c r="F59" s="101" t="n">
        <f aca="false">IF(ISNUMBER(INDEX(B5_SuccOvr_Sol,1,4)),INDEX(B5_SuccOvr_Sol,1,4),1/(1+(INDEX(B5_TaskLen,1,4)/(INDEX(B5_H50,1,2)*F51))^B5_Beta))</f>
        <v>0.738796125036259</v>
      </c>
      <c r="G59" s="101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2009</v>
      </c>
      <c r="B60" s="59" t="s">
        <v>93</v>
      </c>
      <c r="C60" s="99" t="n">
        <f aca="false">IF(ISNUMBER(INDEX(B5_SuccOvr_Sol,1,1)),INDEX(B5_SuccOvr_Sol,1,1),1/(1+(INDEX(B5_TaskLen,1,1)/(INDEX(B5_H50,1,2)*C52))^B5_Beta))</f>
        <v>0.988943278022254</v>
      </c>
      <c r="D60" s="99" t="n">
        <f aca="false">IF(ISNUMBER(INDEX(B5_SuccOvr_Sol,1,2)),INDEX(B5_SuccOvr_Sol,1,2),1/(1+(INDEX(B5_TaskLen,1,2)/(INDEX(B5_H50,1,2)*D52))^B5_Beta))</f>
        <v>0.963963460360214</v>
      </c>
      <c r="E60" s="99" t="n">
        <f aca="false">IF(ISNUMBER(INDEX(B5_SuccOvr_Sol,1,3)),INDEX(B5_SuccOvr_Sol,1,3),1/(1+(INDEX(B5_TaskLen,1,3)/(INDEX(B5_H50,1,2)*E52))^B5_Beta))</f>
        <v>0.888888888888889</v>
      </c>
      <c r="F60" s="99" t="n">
        <f aca="false">IF(ISNUMBER(INDEX(B5_SuccOvr_Sol,1,4)),INDEX(B5_SuccOvr_Sol,1,4),1/(1+(INDEX(B5_TaskLen,1,4)/(INDEX(B5_H50,1,2)*F52))^B5_Beta))</f>
        <v>0.738796125036259</v>
      </c>
      <c r="G60" s="99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2010</v>
      </c>
      <c r="B61" s="59" t="s">
        <v>93</v>
      </c>
      <c r="C61" s="101" t="n">
        <f aca="false">IF(ISNUMBER(INDEX(B5_SuccOvr_Sol,1,1)),INDEX(B5_SuccOvr_Sol,1,1),1/(1+(INDEX(B5_TaskLen,1,1)/(INDEX(B5_H50,1,2)*C53))^B5_Beta))</f>
        <v>0.988943278022254</v>
      </c>
      <c r="D61" s="101" t="n">
        <f aca="false">IF(ISNUMBER(INDEX(B5_SuccOvr_Sol,1,2)),INDEX(B5_SuccOvr_Sol,1,2),1/(1+(INDEX(B5_TaskLen,1,2)/(INDEX(B5_H50,1,2)*D53))^B5_Beta))</f>
        <v>0.963963460360214</v>
      </c>
      <c r="E61" s="101" t="n">
        <f aca="false">IF(ISNUMBER(INDEX(B5_SuccOvr_Sol,1,3)),INDEX(B5_SuccOvr_Sol,1,3),1/(1+(INDEX(B5_TaskLen,1,3)/(INDEX(B5_H50,1,2)*E53))^B5_Beta))</f>
        <v>0.901693340131513</v>
      </c>
      <c r="F61" s="101" t="n">
        <f aca="false">IF(ISNUMBER(INDEX(B5_SuccOvr_Sol,1,4)),INDEX(B5_SuccOvr_Sol,1,4),1/(1+(INDEX(B5_TaskLen,1,4)/(INDEX(B5_H50,1,2)*F53))^B5_Beta))</f>
        <v>0.826293243415818</v>
      </c>
      <c r="G61" s="101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2011</v>
      </c>
      <c r="B62" s="59" t="s">
        <v>93</v>
      </c>
      <c r="C62" s="101" t="n">
        <f aca="false">IF(ISNUMBER(INDEX(B5_SuccOvr_Astra,1,1)),INDEX(B5_SuccOvr_Astra,1,1),1/(1+(INDEX(B5_TaskLen,1,1)/(INDEX(B5_H50,1,3)*C51))^B5_Beta))</f>
        <v>0.993396032445753</v>
      </c>
      <c r="D62" s="101" t="n">
        <f aca="false">IF(ISNUMBER(INDEX(B5_SuccOvr_Astra,1,2)),INDEX(B5_SuccOvr_Astra,1,2),1/(1+(INDEX(B5_TaskLen,1,2)/(INDEX(B5_H50,1,3)*D51))^B5_Beta))</f>
        <v>0.978254868861662</v>
      </c>
      <c r="E62" s="101" t="n">
        <f aca="false">IF(ISNUMBER(INDEX(B5_SuccOvr_Astra,1,3)),INDEX(B5_SuccOvr_Astra,1,3),1/(1+(INDEX(B5_TaskLen,1,3)/(INDEX(B5_H50,1,3)*E51))^B5_Beta))</f>
        <v>0.930816639357101</v>
      </c>
      <c r="F62" s="101" t="n">
        <f aca="false">IF(ISNUMBER(INDEX(B5_SuccOvr_Astra,1,4)),INDEX(B5_SuccOvr_Astra,1,4),1/(1+(INDEX(B5_TaskLen,1,4)/(INDEX(B5_H50,1,3)*F51))^B5_Beta))</f>
        <v>0.826293243415818</v>
      </c>
      <c r="G62" s="101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2012</v>
      </c>
      <c r="B63" s="59" t="s">
        <v>93</v>
      </c>
      <c r="C63" s="99" t="n">
        <f aca="false">IF(ISNUMBER(INDEX(B5_SuccOvr_Astra,1,1)),INDEX(B5_SuccOvr_Astra,1,1),1/(1+(INDEX(B5_TaskLen,1,1)/(INDEX(B5_H50,1,3)*C52))^B5_Beta))</f>
        <v>0.993396032445753</v>
      </c>
      <c r="D63" s="99" t="n">
        <f aca="false">IF(ISNUMBER(INDEX(B5_SuccOvr_Astra,1,2)),INDEX(B5_SuccOvr_Astra,1,2),1/(1+(INDEX(B5_TaskLen,1,2)/(INDEX(B5_H50,1,3)*D52))^B5_Beta))</f>
        <v>0.978254868861662</v>
      </c>
      <c r="E63" s="99" t="n">
        <f aca="false">IF(ISNUMBER(INDEX(B5_SuccOvr_Astra,1,3)),INDEX(B5_SuccOvr_Astra,1,3),1/(1+(INDEX(B5_TaskLen,1,3)/(INDEX(B5_H50,1,3)*E52))^B5_Beta))</f>
        <v>0.930816639357101</v>
      </c>
      <c r="F63" s="99" t="n">
        <f aca="false">IF(ISNUMBER(INDEX(B5_SuccOvr_Astra,1,4)),INDEX(B5_SuccOvr_Astra,1,4),1/(1+(INDEX(B5_TaskLen,1,4)/(INDEX(B5_H50,1,3)*F52))^B5_Beta))</f>
        <v>0.826293243415818</v>
      </c>
      <c r="G63" s="99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2013</v>
      </c>
      <c r="B64" s="59" t="s">
        <v>93</v>
      </c>
      <c r="C64" s="101" t="n">
        <f aca="false">IF(ISNUMBER(INDEX(B5_SuccOvr_Astra,1,1)),INDEX(B5_SuccOvr_Astra,1,1),1/(1+(INDEX(B5_TaskLen,1,1)/(INDEX(B5_H50,1,3)*C53))^B5_Beta))</f>
        <v>0.993396032445753</v>
      </c>
      <c r="D64" s="101" t="n">
        <f aca="false">IF(ISNUMBER(INDEX(B5_SuccOvr_Astra,1,2)),INDEX(B5_SuccOvr_Astra,1,2),1/(1+(INDEX(B5_TaskLen,1,2)/(INDEX(B5_H50,1,3)*D53))^B5_Beta))</f>
        <v>0.978254868861662</v>
      </c>
      <c r="E64" s="101" t="n">
        <f aca="false">IF(ISNUMBER(INDEX(B5_SuccOvr_Astra,1,3)),INDEX(B5_SuccOvr_Astra,1,3),1/(1+(INDEX(B5_TaskLen,1,3)/(INDEX(B5_H50,1,3)*E53))^B5_Beta))</f>
        <v>0.939120259663704</v>
      </c>
      <c r="F64" s="101" t="n">
        <f aca="false">IF(ISNUMBER(INDEX(B5_SuccOvr_Astra,1,4)),INDEX(B5_SuccOvr_Astra,1,4),1/(1+(INDEX(B5_TaskLen,1,4)/(INDEX(B5_H50,1,3)*F53))^B5_Beta))</f>
        <v>0.888888888888889</v>
      </c>
      <c r="G64" s="101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2014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2015</v>
      </c>
      <c r="B67" s="59" t="s">
        <v>423</v>
      </c>
      <c r="C67" s="88" t="n">
        <f aca="false">IF(ISNUMBER(Unit_Cost!M21),(C18*Unit_Cost!M19+C19*(Unit_Cost!M20+Cache_Store!M17*C48/B4_Retain)+C20*Unit_Cost!M21)/1000000,"SLO 不可達")</f>
        <v>9.85519835035262E-005</v>
      </c>
      <c r="D67" s="88" t="n">
        <f aca="false">IF(ISNUMBER(Unit_Cost!M21),(D18*Unit_Cost!M19+D19*(Unit_Cost!M20+Cache_Store!M17*D48/B4_Retain)+D20*Unit_Cost!M21)/1000000,"SLO 不可達")</f>
        <v>0.000651333959833564</v>
      </c>
      <c r="E67" s="88" t="n">
        <f aca="false">IF(ISNUMBER(Unit_Cost!M21),(E18*Unit_Cost!M19+E19*(Unit_Cost!M20+Cache_Store!M17*E48/B4_Retain)+E20*Unit_Cost!M21)/1000000,"SLO 不可達")</f>
        <v>0.000471164044692081</v>
      </c>
      <c r="F67" s="88" t="n">
        <f aca="false">IF(ISNUMBER(Unit_Cost!M21),(F18*Unit_Cost!M19+F19*(Unit_Cost!M20+Cache_Store!M17*F48/B4_Retain)+F20*Unit_Cost!M21)/1000000,"SLO 不可達")</f>
        <v>0.00188465617876833</v>
      </c>
      <c r="G67" s="88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2016</v>
      </c>
      <c r="B68" s="59" t="s">
        <v>423</v>
      </c>
      <c r="C68" s="88" t="n">
        <f aca="false">IF(ISNUMBER(Unit_Cost!M21),(C41*Unit_Cost!M19+C42*(Unit_Cost!M20+Cache_Store!M17*C49/B4_Retain)+C43*Unit_Cost!M21)/1000000,"SLO 不可達")</f>
        <v>9.85519835035262E-005</v>
      </c>
      <c r="D68" s="88" t="n">
        <f aca="false">IF(ISNUMBER(Unit_Cost!M21),(D41*Unit_Cost!M19+D42*(Unit_Cost!M20+Cache_Store!M17*D49/B4_Retain)+D43*Unit_Cost!M21)/1000000,"SLO 不可達")</f>
        <v>0.000651333959833564</v>
      </c>
      <c r="E68" s="88" t="n">
        <f aca="false">IF(ISNUMBER(Unit_Cost!M21),(E41*Unit_Cost!M19+E42*(Unit_Cost!M20+Cache_Store!M17*E49/B4_Retain)+E43*Unit_Cost!M21)/1000000,"SLO 不可達")</f>
        <v>0.000471164044692081</v>
      </c>
      <c r="F68" s="88" t="n">
        <f aca="false">IF(ISNUMBER(Unit_Cost!M21),(F41*Unit_Cost!M19+F42*(Unit_Cost!M20+Cache_Store!M17*F49/B4_Retain)+F43*Unit_Cost!M21)/1000000,"SLO 不可達")</f>
        <v>0.00188465617876833</v>
      </c>
      <c r="G68" s="88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2017</v>
      </c>
      <c r="B69" s="59" t="s">
        <v>423</v>
      </c>
      <c r="C69" s="88" t="n">
        <f aca="false">IF(ISNUMBER(Unit_Cost!M21),(C35*Unit_Cost!M19+C36*(Unit_Cost!M20+Cache_Store!M17*C50/B4_Retain)+C37*Unit_Cost!M21)/1000000,"SLO 不可達")</f>
        <v>9.85519835035262E-005</v>
      </c>
      <c r="D69" s="88" t="n">
        <f aca="false">IF(ISNUMBER(Unit_Cost!M21),(D35*Unit_Cost!M19+D36*(Unit_Cost!M20+Cache_Store!M17*D50/B4_Retain)+D37*Unit_Cost!M21)/1000000,"SLO 不可達")</f>
        <v>0.000651333959833564</v>
      </c>
      <c r="E69" s="88" t="n">
        <f aca="false">IF(ISNUMBER(Unit_Cost!M21),(E35*Unit_Cost!M19+E36*(Unit_Cost!M20+Cache_Store!M17*E50/B4_Retain)+E37*Unit_Cost!M21)/1000000,"SLO 不可達")</f>
        <v>0.000289594039504034</v>
      </c>
      <c r="F69" s="88" t="n">
        <f aca="false">IF(ISNUMBER(Unit_Cost!M21),(F35*Unit_Cost!M19+F36*(Unit_Cost!M20+Cache_Store!M17*F50/B4_Retain)+F37*Unit_Cost!M21)/1000000,"SLO 不可達")</f>
        <v>0.00115837615801614</v>
      </c>
      <c r="G69" s="88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2018</v>
      </c>
      <c r="B70" s="59" t="s">
        <v>423</v>
      </c>
      <c r="C70" s="88" t="n">
        <f aca="false">IF(ISNUMBER(Unit_Cost!M34),(C18*Unit_Cost!M32+C19*(Unit_Cost!M33+Cache_Store!M23*C48/B4_Retain)+C20*Unit_Cost!M34)/1000000,"SLO 不可達")</f>
        <v>0.000316499234753203</v>
      </c>
      <c r="D70" s="88" t="n">
        <f aca="false">IF(ISNUMBER(Unit_Cost!M34),(D18*Unit_Cost!M32+D19*(Unit_Cost!M33+Cache_Store!M23*D48/B4_Retain)+D20*Unit_Cost!M34)/1000000,"SLO 不可達")</f>
        <v>0.00207253122982228</v>
      </c>
      <c r="E70" s="88" t="n">
        <f aca="false">IF(ISNUMBER(Unit_Cost!M34),(E18*Unit_Cost!M32+E19*(Unit_Cost!M33+Cache_Store!M23*E48/B4_Retain)+E20*Unit_Cost!M34)/1000000,"SLO 不可達")</f>
        <v>0.00151055976201112</v>
      </c>
      <c r="F70" s="88" t="n">
        <f aca="false">IF(ISNUMBER(Unit_Cost!M34),(F18*Unit_Cost!M32+F19*(Unit_Cost!M33+Cache_Store!M23*F48/B4_Retain)+F20*Unit_Cost!M34)/1000000,"SLO 不可達")</f>
        <v>0.00604223904804447</v>
      </c>
      <c r="G70" s="88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2019</v>
      </c>
      <c r="B71" s="59" t="s">
        <v>423</v>
      </c>
      <c r="C71" s="88" t="n">
        <f aca="false">IF(ISNUMBER(Unit_Cost!M34),(C41*Unit_Cost!M32+C42*(Unit_Cost!M33+Cache_Store!M23*C49/B4_Retain)+C43*Unit_Cost!M34)/1000000,"SLO 不可達")</f>
        <v>0.000316499234753203</v>
      </c>
      <c r="D71" s="88" t="n">
        <f aca="false">IF(ISNUMBER(Unit_Cost!M34),(D41*Unit_Cost!M32+D42*(Unit_Cost!M33+Cache_Store!M23*D49/B4_Retain)+D43*Unit_Cost!M34)/1000000,"SLO 不可達")</f>
        <v>0.00207253122982228</v>
      </c>
      <c r="E71" s="88" t="n">
        <f aca="false">IF(ISNUMBER(Unit_Cost!M34),(E41*Unit_Cost!M32+E42*(Unit_Cost!M33+Cache_Store!M23*E49/B4_Retain)+E43*Unit_Cost!M34)/1000000,"SLO 不可達")</f>
        <v>0.00151055976201112</v>
      </c>
      <c r="F71" s="88" t="n">
        <f aca="false">IF(ISNUMBER(Unit_Cost!M34),(F41*Unit_Cost!M32+F42*(Unit_Cost!M33+Cache_Store!M23*F49/B4_Retain)+F43*Unit_Cost!M34)/1000000,"SLO 不可達")</f>
        <v>0.00604223904804447</v>
      </c>
      <c r="G71" s="88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2020</v>
      </c>
      <c r="B72" s="59" t="s">
        <v>423</v>
      </c>
      <c r="C72" s="88" t="n">
        <f aca="false">IF(ISNUMBER(Unit_Cost!M34),(C35*Unit_Cost!M32+C36*(Unit_Cost!M33+Cache_Store!M23*C50/B4_Retain)+C37*Unit_Cost!M34)/1000000,"SLO 不可達")</f>
        <v>0.000316499234753203</v>
      </c>
      <c r="D72" s="88" t="n">
        <f aca="false">IF(ISNUMBER(Unit_Cost!M34),(D35*Unit_Cost!M32+D36*(Unit_Cost!M33+Cache_Store!M23*D50/B4_Retain)+D37*Unit_Cost!M34)/1000000,"SLO 不可達")</f>
        <v>0.00207253122982228</v>
      </c>
      <c r="E72" s="88" t="n">
        <f aca="false">IF(ISNUMBER(Unit_Cost!M34),(E35*Unit_Cost!M32+E36*(Unit_Cost!M33+Cache_Store!M23*E50/B4_Retain)+E37*Unit_Cost!M34)/1000000,"SLO 不可達")</f>
        <v>0.000927591710124642</v>
      </c>
      <c r="F72" s="88" t="n">
        <f aca="false">IF(ISNUMBER(Unit_Cost!M34),(F35*Unit_Cost!M32+F36*(Unit_Cost!M33+Cache_Store!M23*F50/B4_Retain)+F37*Unit_Cost!M34)/1000000,"SLO 不可達")</f>
        <v>0.00371036684049857</v>
      </c>
      <c r="G72" s="88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2021</v>
      </c>
      <c r="B73" s="59" t="s">
        <v>423</v>
      </c>
      <c r="C73" s="88" t="n">
        <f aca="false">IF(ISNUMBER(Unit_Cost!M47),(C18*Unit_Cost!M45+C19*(Unit_Cost!M46+Cache_Store!M29*C48/B4_Retain)+C20*Unit_Cost!M47)/1000000,"SLO 不可達")</f>
        <v>0.00156122276555359</v>
      </c>
      <c r="D73" s="88" t="n">
        <f aca="false">IF(ISNUMBER(Unit_Cost!M47),(D18*Unit_Cost!M45+D19*(Unit_Cost!M46+Cache_Store!M29*D48/B4_Retain)+D20*Unit_Cost!M47)/1000000,"SLO 不可達")</f>
        <v>0.0106511329828895</v>
      </c>
      <c r="E73" s="88" t="n">
        <f aca="false">IF(ISNUMBER(Unit_Cost!M47),(E18*Unit_Cost!M45+E19*(Unit_Cost!M46+Cache_Store!M29*E48/B4_Retain)+E20*Unit_Cost!M47)/1000000,"SLO 不可達")</f>
        <v>0.00748143210464292</v>
      </c>
      <c r="F73" s="88" t="n">
        <f aca="false">IF(ISNUMBER(Unit_Cost!M47),(F18*Unit_Cost!M45+F19*(Unit_Cost!M46+Cache_Store!M29*F48/B4_Retain)+F20*Unit_Cost!M47)/1000000,"SLO 不可達")</f>
        <v>0.0299257284185717</v>
      </c>
      <c r="G73" s="88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2022</v>
      </c>
      <c r="B74" s="59" t="s">
        <v>423</v>
      </c>
      <c r="C74" s="88" t="n">
        <f aca="false">IF(ISNUMBER(Unit_Cost!M47),(C41*Unit_Cost!M45+C42*(Unit_Cost!M46+Cache_Store!M29*C49/B4_Retain)+C43*Unit_Cost!M47)/1000000,"SLO 不可達")</f>
        <v>0.00156122276555359</v>
      </c>
      <c r="D74" s="88" t="n">
        <f aca="false">IF(ISNUMBER(Unit_Cost!M47),(D41*Unit_Cost!M45+D42*(Unit_Cost!M46+Cache_Store!M29*D49/B4_Retain)+D43*Unit_Cost!M47)/1000000,"SLO 不可達")</f>
        <v>0.0106511329828895</v>
      </c>
      <c r="E74" s="88" t="n">
        <f aca="false">IF(ISNUMBER(Unit_Cost!M47),(E41*Unit_Cost!M45+E42*(Unit_Cost!M46+Cache_Store!M29*E49/B4_Retain)+E43*Unit_Cost!M47)/1000000,"SLO 不可達")</f>
        <v>0.00748143210464292</v>
      </c>
      <c r="F74" s="88" t="n">
        <f aca="false">IF(ISNUMBER(Unit_Cost!M47),(F41*Unit_Cost!M45+F42*(Unit_Cost!M46+Cache_Store!M29*F49/B4_Retain)+F43*Unit_Cost!M47)/1000000,"SLO 不可達")</f>
        <v>0.0299257284185717</v>
      </c>
      <c r="G74" s="88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2023</v>
      </c>
      <c r="B75" s="59" t="s">
        <v>423</v>
      </c>
      <c r="C75" s="88" t="n">
        <f aca="false">IF(ISNUMBER(Unit_Cost!M47),(C35*Unit_Cost!M45+C36*(Unit_Cost!M46+Cache_Store!M29*C50/B4_Retain)+C37*Unit_Cost!M47)/1000000,"SLO 不可達")</f>
        <v>0.00156122276555359</v>
      </c>
      <c r="D75" s="88" t="n">
        <f aca="false">IF(ISNUMBER(Unit_Cost!M47),(D35*Unit_Cost!M45+D36*(Unit_Cost!M46+Cache_Store!M29*D50/B4_Retain)+D37*Unit_Cost!M47)/1000000,"SLO 不可達")</f>
        <v>0.0106511329828895</v>
      </c>
      <c r="E75" s="88" t="n">
        <f aca="false">IF(ISNUMBER(Unit_Cost!M47),(E35*Unit_Cost!M45+E36*(Unit_Cost!M46+Cache_Store!M29*E50/B4_Retain)+E37*Unit_Cost!M47)/1000000,"SLO 不可達")</f>
        <v>0.00459014472100503</v>
      </c>
      <c r="F75" s="88" t="n">
        <f aca="false">IF(ISNUMBER(Unit_Cost!M47),(F35*Unit_Cost!M45+F36*(Unit_Cost!M46+Cache_Store!M29*F50/B4_Retain)+F37*Unit_Cost!M47)/1000000,"SLO 不可達")</f>
        <v>0.0183605788840201</v>
      </c>
      <c r="G75" s="88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2024</v>
      </c>
      <c r="B76" s="59" t="s">
        <v>423</v>
      </c>
      <c r="C76" s="88" t="n">
        <f aca="false">IF(ISNUMBER(Unit_Cost!J21),(C18*Unit_Cost!J19+C19*(Unit_Cost!J20+Cache_Store!J17*C48/B4_Retain)+C20*Unit_Cost!J21)/1000000,"SLO 不可達")</f>
        <v>0.000129726227073186</v>
      </c>
      <c r="D76" s="88" t="n">
        <f aca="false">IF(ISNUMBER(Unit_Cost!J21),(D18*Unit_Cost!J19+D19*(Unit_Cost!J20+Cache_Store!J17*D48/B4_Retain)+D20*Unit_Cost!J21)/1000000,"SLO 不可達")</f>
        <v>0.000863252065366275</v>
      </c>
      <c r="E76" s="88" t="n">
        <f aca="false">IF(ISNUMBER(Unit_Cost!J21),(E18*Unit_Cost!J19+E19*(Unit_Cost!J20+Cache_Store!J17*E48/B4_Retain)+E20*Unit_Cost!J21)/1000000,"SLO 不可達")</f>
        <v>0.000619697947444157</v>
      </c>
      <c r="F76" s="88" t="n">
        <f aca="false">IF(ISNUMBER(Unit_Cost!J21),(F18*Unit_Cost!J19+F19*(Unit_Cost!J20+Cache_Store!J17*F48/B4_Retain)+F20*Unit_Cost!J21)/1000000,"SLO 不可達")</f>
        <v>0.00247879178977663</v>
      </c>
      <c r="G76" s="88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2025</v>
      </c>
      <c r="B77" s="59" t="s">
        <v>423</v>
      </c>
      <c r="C77" s="88" t="n">
        <f aca="false">IF(ISNUMBER(Unit_Cost!J21),(C41*Unit_Cost!J19+C42*(Unit_Cost!J20+Cache_Store!J17*C49/B4_Retain)+C43*Unit_Cost!J21)/1000000,"SLO 不可達")</f>
        <v>0.000129726227073186</v>
      </c>
      <c r="D77" s="88" t="n">
        <f aca="false">IF(ISNUMBER(Unit_Cost!J21),(D41*Unit_Cost!J19+D42*(Unit_Cost!J20+Cache_Store!J17*D49/B4_Retain)+D43*Unit_Cost!J21)/1000000,"SLO 不可達")</f>
        <v>0.000863252065366275</v>
      </c>
      <c r="E77" s="88" t="n">
        <f aca="false">IF(ISNUMBER(Unit_Cost!J21),(E41*Unit_Cost!J19+E42*(Unit_Cost!J20+Cache_Store!J17*E49/B4_Retain)+E43*Unit_Cost!J21)/1000000,"SLO 不可達")</f>
        <v>0.000619697947444157</v>
      </c>
      <c r="F77" s="88" t="n">
        <f aca="false">IF(ISNUMBER(Unit_Cost!J21),(F41*Unit_Cost!J19+F42*(Unit_Cost!J20+Cache_Store!J17*F49/B4_Retain)+F43*Unit_Cost!J21)/1000000,"SLO 不可達")</f>
        <v>0.00247879178977663</v>
      </c>
      <c r="G77" s="88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2026</v>
      </c>
      <c r="B78" s="59" t="s">
        <v>423</v>
      </c>
      <c r="C78" s="88" t="n">
        <f aca="false">IF(ISNUMBER(Unit_Cost!J21),(C35*Unit_Cost!J19+C36*(Unit_Cost!J20+Cache_Store!J17*C50/B4_Retain)+C37*Unit_Cost!J21)/1000000,"SLO 不可達")</f>
        <v>0.000129726227073186</v>
      </c>
      <c r="D78" s="88" t="n">
        <f aca="false">IF(ISNUMBER(Unit_Cost!J21),(D35*Unit_Cost!J19+D36*(Unit_Cost!J20+Cache_Store!J17*D50/B4_Retain)+D37*Unit_Cost!J21)/1000000,"SLO 不可達")</f>
        <v>0.000863252065366275</v>
      </c>
      <c r="E78" s="88" t="n">
        <f aca="false">IF(ISNUMBER(Unit_Cost!J21),(E35*Unit_Cost!J19+E36*(Unit_Cost!J20+Cache_Store!J17*E50/B4_Retain)+E37*Unit_Cost!J21)/1000000,"SLO 不可達")</f>
        <v>0.000380427717590026</v>
      </c>
      <c r="F78" s="88" t="n">
        <f aca="false">IF(ISNUMBER(Unit_Cost!J21),(F35*Unit_Cost!J19+F36*(Unit_Cost!J20+Cache_Store!J17*F50/B4_Retain)+F37*Unit_Cost!J21)/1000000,"SLO 不可達")</f>
        <v>0.0015217108703601</v>
      </c>
      <c r="G78" s="88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2027</v>
      </c>
      <c r="B79" s="59" t="s">
        <v>423</v>
      </c>
      <c r="C79" s="88" t="n">
        <f aca="false">IF(ISNUMBER(Unit_Cost!J34),(C18*Unit_Cost!J32+C19*(Unit_Cost!J33+Cache_Store!J23*C48/B4_Retain)+C20*Unit_Cost!J34)/1000000,"SLO 不可達")</f>
        <v>0.000451509439174092</v>
      </c>
      <c r="D79" s="88" t="n">
        <f aca="false">IF(ISNUMBER(Unit_Cost!J34),(D18*Unit_Cost!J32+D19*(Unit_Cost!J33+Cache_Store!J23*D48/B4_Retain)+D20*Unit_Cost!J34)/1000000,"SLO 不可達")</f>
        <v>0.00300607617285425</v>
      </c>
      <c r="E79" s="88" t="n">
        <f aca="false">IF(ISNUMBER(Unit_Cost!J34),(E18*Unit_Cost!J32+E19*(Unit_Cost!J33+Cache_Store!J23*E48/B4_Retain)+E20*Unit_Cost!J34)/1000000,"SLO 不可達")</f>
        <v>0.0021555859722706</v>
      </c>
      <c r="F79" s="88" t="n">
        <f aca="false">IF(ISNUMBER(Unit_Cost!J34),(F18*Unit_Cost!J32+F19*(Unit_Cost!J33+Cache_Store!J23*F48/B4_Retain)+F20*Unit_Cost!J34)/1000000,"SLO 不可達")</f>
        <v>0.00862234388908241</v>
      </c>
      <c r="G79" s="88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2028</v>
      </c>
      <c r="B80" s="59" t="s">
        <v>423</v>
      </c>
      <c r="C80" s="88" t="n">
        <f aca="false">IF(ISNUMBER(Unit_Cost!J34),(C41*Unit_Cost!J32+C42*(Unit_Cost!J33+Cache_Store!J23*C49/B4_Retain)+C43*Unit_Cost!J34)/1000000,"SLO 不可達")</f>
        <v>0.000451509439174092</v>
      </c>
      <c r="D80" s="88" t="n">
        <f aca="false">IF(ISNUMBER(Unit_Cost!J34),(D41*Unit_Cost!J32+D42*(Unit_Cost!J33+Cache_Store!J23*D49/B4_Retain)+D43*Unit_Cost!J34)/1000000,"SLO 不可達")</f>
        <v>0.00300607617285425</v>
      </c>
      <c r="E80" s="88" t="n">
        <f aca="false">IF(ISNUMBER(Unit_Cost!J34),(E41*Unit_Cost!J32+E42*(Unit_Cost!J33+Cache_Store!J23*E49/B4_Retain)+E43*Unit_Cost!J34)/1000000,"SLO 不可達")</f>
        <v>0.0021555859722706</v>
      </c>
      <c r="F80" s="88" t="n">
        <f aca="false">IF(ISNUMBER(Unit_Cost!J34),(F41*Unit_Cost!J32+F42*(Unit_Cost!J33+Cache_Store!J23*F49/B4_Retain)+F43*Unit_Cost!J34)/1000000,"SLO 不可達")</f>
        <v>0.00862234388908241</v>
      </c>
      <c r="G80" s="88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2029</v>
      </c>
      <c r="B81" s="59" t="s">
        <v>423</v>
      </c>
      <c r="C81" s="88" t="n">
        <f aca="false">IF(ISNUMBER(Unit_Cost!J34),(C35*Unit_Cost!J32+C36*(Unit_Cost!J33+Cache_Store!J23*C50/B4_Retain)+C37*Unit_Cost!J34)/1000000,"SLO 不可達")</f>
        <v>0.000451509439174092</v>
      </c>
      <c r="D81" s="88" t="n">
        <f aca="false">IF(ISNUMBER(Unit_Cost!J34),(D35*Unit_Cost!J32+D36*(Unit_Cost!J33+Cache_Store!J23*D50/B4_Retain)+D37*Unit_Cost!J34)/1000000,"SLO 不可達")</f>
        <v>0.00300607617285425</v>
      </c>
      <c r="E81" s="88" t="n">
        <f aca="false">IF(ISNUMBER(Unit_Cost!J34),(E35*Unit_Cost!J32+E36*(Unit_Cost!J33+Cache_Store!J23*E50/B4_Retain)+E37*Unit_Cost!J34)/1000000,"SLO 不可達")</f>
        <v>0.00132136713435772</v>
      </c>
      <c r="F81" s="88" t="n">
        <f aca="false">IF(ISNUMBER(Unit_Cost!J34),(F35*Unit_Cost!J32+F36*(Unit_Cost!J33+Cache_Store!J23*F50/B4_Retain)+F37*Unit_Cost!J34)/1000000,"SLO 不可達")</f>
        <v>0.00528546853743088</v>
      </c>
      <c r="G81" s="88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2030</v>
      </c>
      <c r="B82" s="59" t="s">
        <v>423</v>
      </c>
      <c r="C82" s="88" t="n">
        <f aca="false">IF(ISNUMBER(Unit_Cost!J47),(C18*Unit_Cost!J45+C19*(Unit_Cost!J46+Cache_Store!J29*C48/B4_Retain)+C20*Unit_Cost!J47)/1000000,"SLO 不可達")</f>
        <v>0.0030809447933389</v>
      </c>
      <c r="D82" s="88" t="n">
        <f aca="false">IF(ISNUMBER(Unit_Cost!J47),(D18*Unit_Cost!J45+D19*(Unit_Cost!J46+Cache_Store!J29*D48/B4_Retain)+D20*Unit_Cost!J47)/1000000,"SLO 不可達")</f>
        <v>0.0216826206522139</v>
      </c>
      <c r="E82" s="88" t="n">
        <f aca="false">IF(ISNUMBER(Unit_Cost!J47),(E18*Unit_Cost!J45+E19*(Unit_Cost!J46+Cache_Store!J29*E48/B4_Retain)+E20*Unit_Cost!J47)/1000000,"SLO 不可達")</f>
        <v>0.014759842502668</v>
      </c>
      <c r="F82" s="88" t="n">
        <f aca="false">IF(ISNUMBER(Unit_Cost!J47),(F18*Unit_Cost!J45+F19*(Unit_Cost!J46+Cache_Store!J29*F48/B4_Retain)+F20*Unit_Cost!J47)/1000000,"SLO 不可達")</f>
        <v>0.0590393700106718</v>
      </c>
      <c r="G82" s="88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2031</v>
      </c>
      <c r="B83" s="59" t="s">
        <v>423</v>
      </c>
      <c r="C83" s="88" t="n">
        <f aca="false">IF(ISNUMBER(Unit_Cost!J47),(C41*Unit_Cost!J45+C42*(Unit_Cost!J46+Cache_Store!J29*C49/B4_Retain)+C43*Unit_Cost!J47)/1000000,"SLO 不可達")</f>
        <v>0.0030809447933389</v>
      </c>
      <c r="D83" s="88" t="n">
        <f aca="false">IF(ISNUMBER(Unit_Cost!J47),(D41*Unit_Cost!J45+D42*(Unit_Cost!J46+Cache_Store!J29*D49/B4_Retain)+D43*Unit_Cost!J47)/1000000,"SLO 不可達")</f>
        <v>0.0216826206522139</v>
      </c>
      <c r="E83" s="88" t="n">
        <f aca="false">IF(ISNUMBER(Unit_Cost!J47),(E41*Unit_Cost!J45+E42*(Unit_Cost!J46+Cache_Store!J29*E49/B4_Retain)+E43*Unit_Cost!J47)/1000000,"SLO 不可達")</f>
        <v>0.014759842502668</v>
      </c>
      <c r="F83" s="88" t="n">
        <f aca="false">IF(ISNUMBER(Unit_Cost!J47),(F41*Unit_Cost!J45+F42*(Unit_Cost!J46+Cache_Store!J29*F49/B4_Retain)+F43*Unit_Cost!J47)/1000000,"SLO 不可達")</f>
        <v>0.0590393700106718</v>
      </c>
      <c r="G83" s="88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2032</v>
      </c>
      <c r="B84" s="59" t="s">
        <v>423</v>
      </c>
      <c r="C84" s="88" t="n">
        <f aca="false">IF(ISNUMBER(Unit_Cost!J47),(C35*Unit_Cost!J45+C36*(Unit_Cost!J46+Cache_Store!J29*C50/B4_Retain)+C37*Unit_Cost!J47)/1000000,"SLO 不可達")</f>
        <v>0.0030809447933389</v>
      </c>
      <c r="D84" s="88" t="n">
        <f aca="false">IF(ISNUMBER(Unit_Cost!J47),(D35*Unit_Cost!J45+D36*(Unit_Cost!J46+Cache_Store!J29*D50/B4_Retain)+D37*Unit_Cost!J47)/1000000,"SLO 不可達")</f>
        <v>0.0216826206522139</v>
      </c>
      <c r="E84" s="88" t="n">
        <f aca="false">IF(ISNUMBER(Unit_Cost!J47),(E35*Unit_Cost!J45+E36*(Unit_Cost!J46+Cache_Store!J29*E50/B4_Retain)+E37*Unit_Cost!J47)/1000000,"SLO 不可達")</f>
        <v>0.00901426236670322</v>
      </c>
      <c r="F84" s="88" t="n">
        <f aca="false">IF(ISNUMBER(Unit_Cost!J47),(F35*Unit_Cost!J45+F36*(Unit_Cost!J46+Cache_Store!J29*F50/B4_Retain)+F37*Unit_Cost!J47)/1000000,"SLO 不可達")</f>
        <v>0.0360570494668129</v>
      </c>
      <c r="G84" s="88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2033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2015</v>
      </c>
      <c r="B87" s="59" t="s">
        <v>423</v>
      </c>
      <c r="C87" s="165" t="n">
        <f aca="false">IF(AND(ISNUMBER(C67),C56&gt;0),C67/C56,"SLO 不可達")</f>
        <v>0.000102418941208421</v>
      </c>
      <c r="D87" s="165" t="n">
        <f aca="false">IF(AND(ISNUMBER(D67),D56&gt;0),D67/D56,"SLO 不可達")</f>
        <v>0.000736788526866689</v>
      </c>
      <c r="E87" s="165" t="n">
        <f aca="false">IF(AND(ISNUMBER(E67),E56&gt;0),E67/E56,"SLO 不可達")</f>
        <v>0.000677859629711026</v>
      </c>
      <c r="F87" s="165" t="n">
        <f aca="false">IF(AND(ISNUMBER(F67),F56&gt;0),F67/F56,"SLO 不可達")</f>
        <v>0.00422314977569979</v>
      </c>
      <c r="G87" s="165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2016</v>
      </c>
      <c r="B88" s="59" t="s">
        <v>423</v>
      </c>
      <c r="C88" s="166" t="n">
        <f aca="false">IF(AND(ISNUMBER(C68),C57&gt;0),C68/C57,"SLO 不可達")</f>
        <v>0.000102418941208421</v>
      </c>
      <c r="D88" s="166" t="n">
        <f aca="false">IF(AND(ISNUMBER(D68),D57&gt;0),D68/D57,"SLO 不可達")</f>
        <v>0.000736788526866689</v>
      </c>
      <c r="E88" s="166" t="n">
        <f aca="false">IF(AND(ISNUMBER(E68),E57&gt;0),E68/E57,"SLO 不可達")</f>
        <v>0.000677859629711026</v>
      </c>
      <c r="F88" s="166" t="n">
        <f aca="false">IF(AND(ISNUMBER(F68),F57&gt;0),F68/F57,"SLO 不可達")</f>
        <v>0.00422314977569979</v>
      </c>
      <c r="G88" s="166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2017</v>
      </c>
      <c r="B89" s="59" t="s">
        <v>423</v>
      </c>
      <c r="C89" s="165" t="n">
        <f aca="false">IF(AND(ISNUMBER(C69),C58&gt;0),C69/C58,"SLO 不可達")</f>
        <v>0.000102418941208421</v>
      </c>
      <c r="D89" s="165" t="n">
        <f aca="false">IF(AND(ISNUMBER(D69),D58&gt;0),D69/D58,"SLO 不可達")</f>
        <v>0.000736788526866689</v>
      </c>
      <c r="E89" s="165" t="n">
        <f aca="false">IF(AND(ISNUMBER(E69),E58&gt;0),E69/E58,"SLO 不可達")</f>
        <v>0.000400399903202603</v>
      </c>
      <c r="F89" s="165" t="n">
        <f aca="false">IF(AND(ISNUMBER(F69),F58&gt;0),F69/F58,"SLO 不可達")</f>
        <v>0.00201301212487506</v>
      </c>
      <c r="G89" s="165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2018</v>
      </c>
      <c r="B90" s="59" t="s">
        <v>423</v>
      </c>
      <c r="C90" s="165" t="n">
        <f aca="false">IF(AND(ISNUMBER(C70),C59&gt;0),C70/C59,"SLO 不可達")</f>
        <v>0.000320037803771877</v>
      </c>
      <c r="D90" s="165" t="n">
        <f aca="false">IF(AND(ISNUMBER(D70),D59&gt;0),D70/D59,"SLO 不可達")</f>
        <v>0.00215001015603622</v>
      </c>
      <c r="E90" s="165" t="n">
        <f aca="false">IF(AND(ISNUMBER(E70),E59&gt;0),E70/E59,"SLO 不可達")</f>
        <v>0.00169937973226251</v>
      </c>
      <c r="F90" s="165" t="n">
        <f aca="false">IF(AND(ISNUMBER(F70),F59&gt;0),F70/F59,"SLO 不可達")</f>
        <v>0.00817849315025566</v>
      </c>
      <c r="G90" s="165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2019</v>
      </c>
      <c r="B91" s="59" t="s">
        <v>423</v>
      </c>
      <c r="C91" s="166" t="n">
        <f aca="false">IF(AND(ISNUMBER(C71),C60&gt;0),C71/C60,"SLO 不可達")</f>
        <v>0.000320037803771877</v>
      </c>
      <c r="D91" s="166" t="n">
        <f aca="false">IF(AND(ISNUMBER(D71),D60&gt;0),D71/D60,"SLO 不可達")</f>
        <v>0.00215001015603622</v>
      </c>
      <c r="E91" s="166" t="n">
        <f aca="false">IF(AND(ISNUMBER(E71),E60&gt;0),E71/E60,"SLO 不可達")</f>
        <v>0.00169937973226251</v>
      </c>
      <c r="F91" s="166" t="n">
        <f aca="false">IF(AND(ISNUMBER(F71),F60&gt;0),F71/F60,"SLO 不可達")</f>
        <v>0.00817849315025566</v>
      </c>
      <c r="G91" s="166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2020</v>
      </c>
      <c r="B92" s="59" t="s">
        <v>423</v>
      </c>
      <c r="C92" s="165" t="n">
        <f aca="false">IF(AND(ISNUMBER(C72),C61&gt;0),C72/C61,"SLO 不可達")</f>
        <v>0.000320037803771877</v>
      </c>
      <c r="D92" s="165" t="n">
        <f aca="false">IF(AND(ISNUMBER(D72),D61&gt;0),D72/D61,"SLO 不可達")</f>
        <v>0.00215001015603622</v>
      </c>
      <c r="E92" s="165" t="n">
        <f aca="false">IF(AND(ISNUMBER(E72),E61&gt;0),E72/E61,"SLO 不可達")</f>
        <v>0.00102872192666894</v>
      </c>
      <c r="F92" s="165" t="n">
        <f aca="false">IF(AND(ISNUMBER(F72),F61&gt;0),F72/F61,"SLO 不可達")</f>
        <v>0.00449037538436144</v>
      </c>
      <c r="G92" s="165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2021</v>
      </c>
      <c r="B93" s="59" t="s">
        <v>423</v>
      </c>
      <c r="C93" s="165" t="n">
        <f aca="false">IF(AND(ISNUMBER(C73),C62&gt;0),C73/C62,"SLO 不可達")</f>
        <v>0.00157160157133891</v>
      </c>
      <c r="D93" s="165" t="n">
        <f aca="false">IF(AND(ISNUMBER(D73),D62&gt;0),D73/D62,"SLO 不可達")</f>
        <v>0.0108878916138528</v>
      </c>
      <c r="E93" s="165" t="n">
        <f aca="false">IF(AND(ISNUMBER(E73),E62&gt;0),E73/E62,"SLO 不可達")</f>
        <v>0.00803749287272112</v>
      </c>
      <c r="F93" s="165" t="n">
        <f aca="false">IF(AND(ISNUMBER(F73),F62&gt;0),F73/F62,"SLO 不可達")</f>
        <v>0.03621683785633</v>
      </c>
      <c r="G93" s="165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2022</v>
      </c>
      <c r="B94" s="59" t="s">
        <v>423</v>
      </c>
      <c r="C94" s="166" t="n">
        <f aca="false">IF(AND(ISNUMBER(C74),C63&gt;0),C74/C63,"SLO 不可達")</f>
        <v>0.00157160157133891</v>
      </c>
      <c r="D94" s="166" t="n">
        <f aca="false">IF(AND(ISNUMBER(D74),D63&gt;0),D74/D63,"SLO 不可達")</f>
        <v>0.0108878916138528</v>
      </c>
      <c r="E94" s="166" t="n">
        <f aca="false">IF(AND(ISNUMBER(E74),E63&gt;0),E74/E63,"SLO 不可達")</f>
        <v>0.00803749287272112</v>
      </c>
      <c r="F94" s="166" t="n">
        <f aca="false">IF(AND(ISNUMBER(F74),F63&gt;0),F74/F63,"SLO 不可達")</f>
        <v>0.03621683785633</v>
      </c>
      <c r="G94" s="166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2023</v>
      </c>
      <c r="B95" s="59" t="s">
        <v>423</v>
      </c>
      <c r="C95" s="165" t="n">
        <f aca="false">IF(AND(ISNUMBER(C75),C64&gt;0),C75/C64,"SLO 不可達")</f>
        <v>0.00157160157133891</v>
      </c>
      <c r="D95" s="165" t="n">
        <f aca="false">IF(AND(ISNUMBER(D75),D64&gt;0),D75/D64,"SLO 不可達")</f>
        <v>0.0108878916138528</v>
      </c>
      <c r="E95" s="165" t="n">
        <f aca="false">IF(AND(ISNUMBER(E75),E64&gt;0),E75/E64,"SLO 不可達")</f>
        <v>0.00488770705750587</v>
      </c>
      <c r="F95" s="165" t="n">
        <f aca="false">IF(AND(ISNUMBER(F75),F64&gt;0),F75/F64,"SLO 不可達")</f>
        <v>0.0206556512445227</v>
      </c>
      <c r="G95" s="165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2024</v>
      </c>
      <c r="B96" s="59" t="s">
        <v>423</v>
      </c>
      <c r="C96" s="165" t="n">
        <f aca="false">IF(AND(ISNUMBER(C76),C56&gt;0),C76/C56,"SLO 不可達")</f>
        <v>0.000134816391831662</v>
      </c>
      <c r="D96" s="165" t="n">
        <f aca="false">IF(AND(ISNUMBER(D76),D56&gt;0),D76/D56,"SLO 不可達")</f>
        <v>0.000976510141922234</v>
      </c>
      <c r="E96" s="165" t="n">
        <f aca="false">IF(AND(ISNUMBER(E76),E56&gt;0),E76/E56,"SLO 不可達")</f>
        <v>0.000891554068947909</v>
      </c>
      <c r="F96" s="165" t="n">
        <f aca="false">IF(AND(ISNUMBER(F76),F56&gt;0),F76/F56,"SLO 不可達")</f>
        <v>0.00555449270213466</v>
      </c>
      <c r="G96" s="165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2025</v>
      </c>
      <c r="B97" s="59" t="s">
        <v>423</v>
      </c>
      <c r="C97" s="165" t="n">
        <f aca="false">IF(AND(ISNUMBER(C77),C57&gt;0),C77/C57,"SLO 不可達")</f>
        <v>0.000134816391831662</v>
      </c>
      <c r="D97" s="165" t="n">
        <f aca="false">IF(AND(ISNUMBER(D77),D57&gt;0),D77/D57,"SLO 不可達")</f>
        <v>0.000976510141922234</v>
      </c>
      <c r="E97" s="165" t="n">
        <f aca="false">IF(AND(ISNUMBER(E77),E57&gt;0),E77/E57,"SLO 不可達")</f>
        <v>0.000891554068947909</v>
      </c>
      <c r="F97" s="165" t="n">
        <f aca="false">IF(AND(ISNUMBER(F77),F57&gt;0),F77/F57,"SLO 不可達")</f>
        <v>0.00555449270213466</v>
      </c>
      <c r="G97" s="165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2026</v>
      </c>
      <c r="B98" s="59" t="s">
        <v>423</v>
      </c>
      <c r="C98" s="165" t="n">
        <f aca="false">IF(AND(ISNUMBER(C78),C58&gt;0),C78/C58,"SLO 不可達")</f>
        <v>0.000134816391831662</v>
      </c>
      <c r="D98" s="165" t="n">
        <f aca="false">IF(AND(ISNUMBER(D78),D58&gt;0),D78/D58,"SLO 不可達")</f>
        <v>0.000976510141922234</v>
      </c>
      <c r="E98" s="165" t="n">
        <f aca="false">IF(AND(ISNUMBER(E78),E58&gt;0),E78/E58,"SLO 不可達")</f>
        <v>0.000525988799905916</v>
      </c>
      <c r="F98" s="165" t="n">
        <f aca="false">IF(AND(ISNUMBER(F78),F58&gt;0),F78/F58,"SLO 不可達")</f>
        <v>0.00264441080851941</v>
      </c>
      <c r="G98" s="165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2027</v>
      </c>
      <c r="B99" s="59" t="s">
        <v>423</v>
      </c>
      <c r="C99" s="165" t="n">
        <f aca="false">IF(AND(ISNUMBER(C79),C59&gt;0),C79/C59,"SLO 不可達")</f>
        <v>0.000456557468166472</v>
      </c>
      <c r="D99" s="165" t="n">
        <f aca="false">IF(AND(ISNUMBER(D79),D59&gt;0),D79/D59,"SLO 不可達")</f>
        <v>0.00311845448138764</v>
      </c>
      <c r="E99" s="165" t="n">
        <f aca="false">IF(AND(ISNUMBER(E79),E59&gt;0),E79/E59,"SLO 不可達")</f>
        <v>0.00242503421880443</v>
      </c>
      <c r="F99" s="165" t="n">
        <f aca="false">IF(AND(ISNUMBER(F79),F59&gt;0),F79/F59,"SLO 不可達")</f>
        <v>0.0116708028059287</v>
      </c>
      <c r="G99" s="165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2028</v>
      </c>
      <c r="B100" s="59" t="s">
        <v>423</v>
      </c>
      <c r="C100" s="165" t="n">
        <f aca="false">IF(AND(ISNUMBER(C80),C60&gt;0),C80/C60,"SLO 不可達")</f>
        <v>0.000456557468166472</v>
      </c>
      <c r="D100" s="165" t="n">
        <f aca="false">IF(AND(ISNUMBER(D80),D60&gt;0),D80/D60,"SLO 不可達")</f>
        <v>0.00311845448138764</v>
      </c>
      <c r="E100" s="165" t="n">
        <f aca="false">IF(AND(ISNUMBER(E80),E60&gt;0),E80/E60,"SLO 不可達")</f>
        <v>0.00242503421880443</v>
      </c>
      <c r="F100" s="165" t="n">
        <f aca="false">IF(AND(ISNUMBER(F80),F60&gt;0),F80/F60,"SLO 不可達")</f>
        <v>0.0116708028059287</v>
      </c>
      <c r="G100" s="165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2029</v>
      </c>
      <c r="B101" s="59" t="s">
        <v>423</v>
      </c>
      <c r="C101" s="165" t="n">
        <f aca="false">IF(AND(ISNUMBER(C81),C61&gt;0),C81/C61,"SLO 不可達")</f>
        <v>0.000456557468166472</v>
      </c>
      <c r="D101" s="165" t="n">
        <f aca="false">IF(AND(ISNUMBER(D81),D61&gt;0),D81/D61,"SLO 不可達")</f>
        <v>0.00311845448138764</v>
      </c>
      <c r="E101" s="165" t="n">
        <f aca="false">IF(AND(ISNUMBER(E81),E61&gt;0),E81/E61,"SLO 不可達")</f>
        <v>0.00146542851715529</v>
      </c>
      <c r="F101" s="165" t="n">
        <f aca="false">IF(AND(ISNUMBER(F81),F61&gt;0),F81/F61,"SLO 不可達")</f>
        <v>0.00639660142394636</v>
      </c>
      <c r="G101" s="165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2030</v>
      </c>
      <c r="B102" s="59" t="s">
        <v>423</v>
      </c>
      <c r="C102" s="165" t="n">
        <f aca="false">IF(AND(ISNUMBER(C82),C62&gt;0),C82/C62,"SLO 不可達")</f>
        <v>0.00310142651340531</v>
      </c>
      <c r="D102" s="165" t="n">
        <f aca="false">IF(AND(ISNUMBER(D82),D62&gt;0),D82/D62,"SLO 不可達")</f>
        <v>0.0221645926254829</v>
      </c>
      <c r="E102" s="165" t="n">
        <f aca="false">IF(AND(ISNUMBER(E82),E62&gt;0),E82/E62,"SLO 不可達")</f>
        <v>0.0158568743601987</v>
      </c>
      <c r="F102" s="165" t="n">
        <f aca="false">IF(AND(ISNUMBER(F82),F62&gt;0),F82/F62,"SLO 不可達")</f>
        <v>0.0714508686608747</v>
      </c>
      <c r="G102" s="165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2031</v>
      </c>
      <c r="B103" s="59" t="s">
        <v>423</v>
      </c>
      <c r="C103" s="165" t="n">
        <f aca="false">IF(AND(ISNUMBER(C83),C63&gt;0),C83/C63,"SLO 不可達")</f>
        <v>0.00310142651340531</v>
      </c>
      <c r="D103" s="165" t="n">
        <f aca="false">IF(AND(ISNUMBER(D83),D63&gt;0),D83/D63,"SLO 不可達")</f>
        <v>0.0221645926254829</v>
      </c>
      <c r="E103" s="165" t="n">
        <f aca="false">IF(AND(ISNUMBER(E83),E63&gt;0),E83/E63,"SLO 不可達")</f>
        <v>0.0158568743601987</v>
      </c>
      <c r="F103" s="165" t="n">
        <f aca="false">IF(AND(ISNUMBER(F83),F63&gt;0),F83/F63,"SLO 不可達")</f>
        <v>0.0714508686608747</v>
      </c>
      <c r="G103" s="165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2032</v>
      </c>
      <c r="B104" s="59" t="s">
        <v>423</v>
      </c>
      <c r="C104" s="165" t="n">
        <f aca="false">IF(AND(ISNUMBER(C84),C64&gt;0),C84/C64,"SLO 不可達")</f>
        <v>0.00310142651340531</v>
      </c>
      <c r="D104" s="165" t="n">
        <f aca="false">IF(AND(ISNUMBER(D84),D64&gt;0),D84/D64,"SLO 不可達")</f>
        <v>0.0221645926254829</v>
      </c>
      <c r="E104" s="165" t="n">
        <f aca="false">IF(AND(ISNUMBER(E84),E64&gt;0),E84/E64,"SLO 不可達")</f>
        <v>0.00959862411011258</v>
      </c>
      <c r="F104" s="165" t="n">
        <f aca="false">IF(AND(ISNUMBER(F84),F64&gt;0),F84/F64,"SLO 不可達")</f>
        <v>0.0405641806501645</v>
      </c>
      <c r="G104" s="165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2034</v>
      </c>
      <c r="B105" s="59" t="s">
        <v>279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2035</v>
      </c>
      <c r="B106" s="59" t="s">
        <v>279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2036</v>
      </c>
      <c r="B107" s="59" t="s">
        <v>279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2037</v>
      </c>
      <c r="B108" s="59" t="s">
        <v>279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2038</v>
      </c>
      <c r="B109" s="59" t="s">
        <v>279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2039</v>
      </c>
      <c r="B110" s="59" t="s">
        <v>279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2040</v>
      </c>
      <c r="B111" s="59" t="s">
        <v>279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2041</v>
      </c>
      <c r="B112" s="59" t="s">
        <v>279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2042</v>
      </c>
      <c r="B113" s="59" t="s">
        <v>279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2043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2044</v>
      </c>
      <c r="B116" s="59" t="s">
        <v>423</v>
      </c>
      <c r="C116" s="165" t="n">
        <f aca="false">(C18*INDEX(B4_EffIn,1,1)+C19*INDEX(B4_EffCache,1,1)+C20*INDEX(B4_EffOut,1,1))/1000000</f>
        <v>0.000328</v>
      </c>
      <c r="D116" s="165" t="n">
        <f aca="false">(D18*INDEX(B4_EffIn,1,1)+D19*INDEX(B4_EffCache,1,1)+D20*INDEX(B4_EffOut,1,1))/1000000</f>
        <v>0.001608</v>
      </c>
      <c r="E116" s="165" t="n">
        <f aca="false">(E18*INDEX(B4_EffIn,1,1)+E19*INDEX(B4_EffCache,1,1)+E20*INDEX(B4_EffOut,1,1))/1000000</f>
        <v>0.00165408</v>
      </c>
      <c r="F116" s="165" t="n">
        <f aca="false">(F18*INDEX(B4_EffIn,1,1)+F19*INDEX(B4_EffCache,1,1)+F20*INDEX(B4_EffOut,1,1))/1000000</f>
        <v>0.00661632</v>
      </c>
      <c r="G116" s="165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2045</v>
      </c>
      <c r="B117" s="59" t="s">
        <v>423</v>
      </c>
      <c r="C117" s="165" t="n">
        <f aca="false">(C41*INDEX(B4_EffIn,1,1)+C42*INDEX(B4_EffCache,1,1)+C43*INDEX(B4_EffOut,1,1))/1000000</f>
        <v>0.000328</v>
      </c>
      <c r="D117" s="165" t="n">
        <f aca="false">(D41*INDEX(B4_EffIn,1,1)+D42*INDEX(B4_EffCache,1,1)+D43*INDEX(B4_EffOut,1,1))/1000000</f>
        <v>0.001608</v>
      </c>
      <c r="E117" s="165" t="n">
        <f aca="false">(E41*INDEX(B4_EffIn,1,1)+E42*INDEX(B4_EffCache,1,1)+E43*INDEX(B4_EffOut,1,1))/1000000</f>
        <v>0.00165408</v>
      </c>
      <c r="F117" s="165" t="n">
        <f aca="false">(F41*INDEX(B4_EffIn,1,1)+F42*INDEX(B4_EffCache,1,1)+F43*INDEX(B4_EffOut,1,1))/1000000</f>
        <v>0.00661632</v>
      </c>
      <c r="G117" s="165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2046</v>
      </c>
      <c r="B118" s="59" t="s">
        <v>423</v>
      </c>
      <c r="C118" s="165" t="n">
        <f aca="false">(C35*INDEX(B4_EffIn,1,1)+C36*INDEX(B4_EffCache,1,1)+C37*INDEX(B4_EffOut,1,1))/1000000</f>
        <v>0.000328</v>
      </c>
      <c r="D118" s="165" t="n">
        <f aca="false">(D35*INDEX(B4_EffIn,1,1)+D36*INDEX(B4_EffCache,1,1)+D37*INDEX(B4_EffOut,1,1))/1000000</f>
        <v>0.001608</v>
      </c>
      <c r="E118" s="165" t="n">
        <f aca="false">(E35*INDEX(B4_EffIn,1,1)+E36*INDEX(B4_EffCache,1,1)+E37*INDEX(B4_EffOut,1,1))/1000000</f>
        <v>0.001024998016</v>
      </c>
      <c r="F118" s="165" t="n">
        <f aca="false">(F35*INDEX(B4_EffIn,1,1)+F36*INDEX(B4_EffCache,1,1)+F37*INDEX(B4_EffOut,1,1))/1000000</f>
        <v>0.004099992064</v>
      </c>
      <c r="G118" s="165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2047</v>
      </c>
      <c r="B119" s="59" t="s">
        <v>423</v>
      </c>
      <c r="C119" s="165" t="n">
        <f aca="false">(C18*INDEX(B4_EffIn,1,2)+C19*INDEX(B4_EffCache,1,2)+C20*INDEX(B4_EffOut,1,2))/1000000</f>
        <v>0.00656</v>
      </c>
      <c r="D119" s="165" t="n">
        <f aca="false">(D18*INDEX(B4_EffIn,1,2)+D19*INDEX(B4_EffCache,1,2)+D20*INDEX(B4_EffOut,1,2))/1000000</f>
        <v>0.03216</v>
      </c>
      <c r="E119" s="165" t="n">
        <f aca="false">(E18*INDEX(B4_EffIn,1,2)+E19*INDEX(B4_EffCache,1,2)+E20*INDEX(B4_EffOut,1,2))/1000000</f>
        <v>0.0330816</v>
      </c>
      <c r="F119" s="165" t="n">
        <f aca="false">(F18*INDEX(B4_EffIn,1,2)+F19*INDEX(B4_EffCache,1,2)+F20*INDEX(B4_EffOut,1,2))/1000000</f>
        <v>0.1323264</v>
      </c>
      <c r="G119" s="165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2048</v>
      </c>
      <c r="B120" s="59" t="s">
        <v>423</v>
      </c>
      <c r="C120" s="165" t="n">
        <f aca="false">(C41*INDEX(B4_EffIn,1,2)+C42*INDEX(B4_EffCache,1,2)+C43*INDEX(B4_EffOut,1,2))/1000000</f>
        <v>0.00656</v>
      </c>
      <c r="D120" s="165" t="n">
        <f aca="false">(D41*INDEX(B4_EffIn,1,2)+D42*INDEX(B4_EffCache,1,2)+D43*INDEX(B4_EffOut,1,2))/1000000</f>
        <v>0.03216</v>
      </c>
      <c r="E120" s="165" t="n">
        <f aca="false">(E41*INDEX(B4_EffIn,1,2)+E42*INDEX(B4_EffCache,1,2)+E43*INDEX(B4_EffOut,1,2))/1000000</f>
        <v>0.0330816</v>
      </c>
      <c r="F120" s="165" t="n">
        <f aca="false">(F41*INDEX(B4_EffIn,1,2)+F42*INDEX(B4_EffCache,1,2)+F43*INDEX(B4_EffOut,1,2))/1000000</f>
        <v>0.1323264</v>
      </c>
      <c r="G120" s="165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2049</v>
      </c>
      <c r="B121" s="59" t="s">
        <v>423</v>
      </c>
      <c r="C121" s="165" t="n">
        <f aca="false">(C35*INDEX(B4_EffIn,1,2)+C36*INDEX(B4_EffCache,1,2)+C37*INDEX(B4_EffOut,1,2))/1000000</f>
        <v>0.00656</v>
      </c>
      <c r="D121" s="165" t="n">
        <f aca="false">(D35*INDEX(B4_EffIn,1,2)+D36*INDEX(B4_EffCache,1,2)+D37*INDEX(B4_EffOut,1,2))/1000000</f>
        <v>0.03216</v>
      </c>
      <c r="E121" s="165" t="n">
        <f aca="false">(E35*INDEX(B4_EffIn,1,2)+E36*INDEX(B4_EffCache,1,2)+E37*INDEX(B4_EffOut,1,2))/1000000</f>
        <v>0.02049996032</v>
      </c>
      <c r="F121" s="165" t="n">
        <f aca="false">(F35*INDEX(B4_EffIn,1,2)+F36*INDEX(B4_EffCache,1,2)+F37*INDEX(B4_EffOut,1,2))/1000000</f>
        <v>0.08199984128</v>
      </c>
      <c r="G121" s="165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2050</v>
      </c>
      <c r="B122" s="59" t="s">
        <v>423</v>
      </c>
      <c r="C122" s="165" t="n">
        <f aca="false">(C18*INDEX(B4_EffIn,1,3)+C19*INDEX(B4_EffCache,1,3)+C20*INDEX(B4_EffOut,1,3))/1000000</f>
        <v>0.0328</v>
      </c>
      <c r="D122" s="165" t="n">
        <f aca="false">(D18*INDEX(B4_EffIn,1,3)+D19*INDEX(B4_EffCache,1,3)+D20*INDEX(B4_EffOut,1,3))/1000000</f>
        <v>0.1608</v>
      </c>
      <c r="E122" s="165" t="n">
        <f aca="false">(E18*INDEX(B4_EffIn,1,3)+E19*INDEX(B4_EffCache,1,3)+E20*INDEX(B4_EffOut,1,3))/1000000</f>
        <v>0.165408</v>
      </c>
      <c r="F122" s="165" t="n">
        <f aca="false">(F18*INDEX(B4_EffIn,1,3)+F19*INDEX(B4_EffCache,1,3)+F20*INDEX(B4_EffOut,1,3))/1000000</f>
        <v>0.661632</v>
      </c>
      <c r="G122" s="165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2051</v>
      </c>
      <c r="B123" s="59" t="s">
        <v>423</v>
      </c>
      <c r="C123" s="165" t="n">
        <f aca="false">(C41*INDEX(B4_EffIn,1,3)+C42*INDEX(B4_EffCache,1,3)+C43*INDEX(B4_EffOut,1,3))/1000000</f>
        <v>0.0328</v>
      </c>
      <c r="D123" s="165" t="n">
        <f aca="false">(D41*INDEX(B4_EffIn,1,3)+D42*INDEX(B4_EffCache,1,3)+D43*INDEX(B4_EffOut,1,3))/1000000</f>
        <v>0.1608</v>
      </c>
      <c r="E123" s="165" t="n">
        <f aca="false">(E41*INDEX(B4_EffIn,1,3)+E42*INDEX(B4_EffCache,1,3)+E43*INDEX(B4_EffOut,1,3))/1000000</f>
        <v>0.165408</v>
      </c>
      <c r="F123" s="165" t="n">
        <f aca="false">(F41*INDEX(B4_EffIn,1,3)+F42*INDEX(B4_EffCache,1,3)+F43*INDEX(B4_EffOut,1,3))/1000000</f>
        <v>0.661632</v>
      </c>
      <c r="G123" s="165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2052</v>
      </c>
      <c r="B124" s="59" t="s">
        <v>423</v>
      </c>
      <c r="C124" s="165" t="n">
        <f aca="false">(C35*INDEX(B4_EffIn,1,3)+C36*INDEX(B4_EffCache,1,3)+C37*INDEX(B4_EffOut,1,3))/1000000</f>
        <v>0.0328</v>
      </c>
      <c r="D124" s="165" t="n">
        <f aca="false">(D35*INDEX(B4_EffIn,1,3)+D36*INDEX(B4_EffCache,1,3)+D37*INDEX(B4_EffOut,1,3))/1000000</f>
        <v>0.1608</v>
      </c>
      <c r="E124" s="165" t="n">
        <f aca="false">(E35*INDEX(B4_EffIn,1,3)+E36*INDEX(B4_EffCache,1,3)+E37*INDEX(B4_EffOut,1,3))/1000000</f>
        <v>0.1024998016</v>
      </c>
      <c r="F124" s="165" t="n">
        <f aca="false">(F35*INDEX(B4_EffIn,1,3)+F36*INDEX(B4_EffCache,1,3)+F37*INDEX(B4_EffOut,1,3))/1000000</f>
        <v>0.4099992064</v>
      </c>
      <c r="G124" s="165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2053</v>
      </c>
      <c r="B125" s="59" t="s">
        <v>423</v>
      </c>
      <c r="C125" s="165" t="n">
        <f aca="false">IF(C56&gt;0,C116/C56,0)</f>
        <v>0.000340869980715914</v>
      </c>
      <c r="D125" s="165" t="n">
        <f aca="false">IF(D56&gt;0,D116/D56,0)</f>
        <v>0.00181896849275965</v>
      </c>
      <c r="E125" s="165" t="n">
        <f aca="false">IF(E56&gt;0,E116/E56,0)</f>
        <v>0.00237971056778149</v>
      </c>
      <c r="F125" s="165" t="n">
        <f aca="false">IF(F56&gt;0,F116/F56,0)</f>
        <v>0.0148258927218325</v>
      </c>
      <c r="G125" s="165" t="n">
        <f aca="false">IF(G56&gt;0,G116/G56,0)</f>
        <v>0.171997108568582</v>
      </c>
    </row>
    <row r="126" customFormat="false" ht="15" hidden="false" customHeight="false" outlineLevel="0" collapsed="false">
      <c r="A126" s="5" t="s">
        <v>2054</v>
      </c>
      <c r="B126" s="59" t="s">
        <v>423</v>
      </c>
      <c r="C126" s="165" t="n">
        <f aca="false">IF(C57&gt;0,C117/C57,0)</f>
        <v>0.000340869980715914</v>
      </c>
      <c r="D126" s="165" t="n">
        <f aca="false">IF(D57&gt;0,D117/D57,0)</f>
        <v>0.00181896849275965</v>
      </c>
      <c r="E126" s="165" t="n">
        <f aca="false">IF(E57&gt;0,E117/E57,0)</f>
        <v>0.00237971056778149</v>
      </c>
      <c r="F126" s="165" t="n">
        <f aca="false">IF(F57&gt;0,F117/F57,0)</f>
        <v>0.0148258927218325</v>
      </c>
      <c r="G126" s="165" t="n">
        <f aca="false">IF(G57&gt;0,G117/G57,0)</f>
        <v>0.171997108568582</v>
      </c>
    </row>
    <row r="127" customFormat="false" ht="15" hidden="false" customHeight="false" outlineLevel="0" collapsed="false">
      <c r="A127" s="5" t="s">
        <v>2055</v>
      </c>
      <c r="B127" s="59" t="s">
        <v>423</v>
      </c>
      <c r="C127" s="165" t="n">
        <f aca="false">IF(C58&gt;0,C118/C58,0)</f>
        <v>0.000340869980715914</v>
      </c>
      <c r="D127" s="165" t="n">
        <f aca="false">IF(D58&gt;0,D118/D58,0)</f>
        <v>0.00181896849275965</v>
      </c>
      <c r="E127" s="165" t="n">
        <f aca="false">IF(E58&gt;0,E118/E58,0)</f>
        <v>0.00141718768484371</v>
      </c>
      <c r="F127" s="165" t="n">
        <f aca="false">IF(F58&gt;0,F118/F58,0)</f>
        <v>0.00712491678942907</v>
      </c>
      <c r="G127" s="165" t="n">
        <f aca="false">IF(G58&gt;0,G118/G58,0)</f>
        <v>0.0648763004524294</v>
      </c>
    </row>
    <row r="128" customFormat="false" ht="15" hidden="false" customHeight="false" outlineLevel="0" collapsed="false">
      <c r="A128" s="5" t="s">
        <v>2056</v>
      </c>
      <c r="B128" s="59" t="s">
        <v>423</v>
      </c>
      <c r="C128" s="165" t="n">
        <f aca="false">IF(C59&gt;0,C119/C59,0)</f>
        <v>0.00663334302966199</v>
      </c>
      <c r="D128" s="165" t="n">
        <f aca="false">IF(D59&gt;0,D119/D59,0)</f>
        <v>0.0333622604201019</v>
      </c>
      <c r="E128" s="165" t="n">
        <f aca="false">IF(E59&gt;0,E119/E59,0)</f>
        <v>0.0372168</v>
      </c>
      <c r="F128" s="165" t="n">
        <f aca="false">IF(F59&gt;0,F119/F59,0)</f>
        <v>0.179110847385002</v>
      </c>
      <c r="G128" s="165" t="n">
        <f aca="false">IF(G59&gt;0,G119/G59,0)</f>
        <v>1.525632</v>
      </c>
    </row>
    <row r="129" customFormat="false" ht="15" hidden="false" customHeight="false" outlineLevel="0" collapsed="false">
      <c r="A129" s="5" t="s">
        <v>2057</v>
      </c>
      <c r="B129" s="59" t="s">
        <v>423</v>
      </c>
      <c r="C129" s="165" t="n">
        <f aca="false">IF(C60&gt;0,C120/C60,0)</f>
        <v>0.00663334302966199</v>
      </c>
      <c r="D129" s="165" t="n">
        <f aca="false">IF(D60&gt;0,D120/D60,0)</f>
        <v>0.0333622604201019</v>
      </c>
      <c r="E129" s="165" t="n">
        <f aca="false">IF(E60&gt;0,E120/E60,0)</f>
        <v>0.0372168</v>
      </c>
      <c r="F129" s="165" t="n">
        <f aca="false">IF(F60&gt;0,F120/F60,0)</f>
        <v>0.179110847385002</v>
      </c>
      <c r="G129" s="165" t="n">
        <f aca="false">IF(G60&gt;0,G120/G60,0)</f>
        <v>1.525632</v>
      </c>
    </row>
    <row r="130" customFormat="false" ht="15" hidden="false" customHeight="false" outlineLevel="0" collapsed="false">
      <c r="A130" s="5" t="s">
        <v>2058</v>
      </c>
      <c r="B130" s="59" t="s">
        <v>423</v>
      </c>
      <c r="C130" s="165" t="n">
        <f aca="false">IF(C61&gt;0,C121/C61,0)</f>
        <v>0.00663334302966199</v>
      </c>
      <c r="D130" s="165" t="n">
        <f aca="false">IF(D61&gt;0,D121/D61,0)</f>
        <v>0.0333622604201019</v>
      </c>
      <c r="E130" s="165" t="n">
        <f aca="false">IF(E61&gt;0,E121/E61,0)</f>
        <v>0.022734958114485</v>
      </c>
      <c r="F130" s="165" t="n">
        <f aca="false">IF(F61&gt;0,F121/F61,0)</f>
        <v>0.0992381844259314</v>
      </c>
      <c r="G130" s="165" t="n">
        <f aca="false">IF(G61&gt;0,G121/G61,0)</f>
        <v>0.670290712417705</v>
      </c>
    </row>
    <row r="131" customFormat="false" ht="15" hidden="false" customHeight="false" outlineLevel="0" collapsed="false">
      <c r="A131" s="5" t="s">
        <v>2059</v>
      </c>
      <c r="B131" s="59" t="s">
        <v>423</v>
      </c>
      <c r="C131" s="165" t="n">
        <f aca="false">IF(C62&gt;0,C122/C62,0)</f>
        <v>0.0330180501317747</v>
      </c>
      <c r="D131" s="165" t="n">
        <f aca="false">IF(D62&gt;0,D122/D62,0)</f>
        <v>0.164374341614178</v>
      </c>
      <c r="E131" s="165" t="n">
        <f aca="false">IF(E62&gt;0,E122/E62,0)</f>
        <v>0.177702023154898</v>
      </c>
      <c r="F131" s="165" t="n">
        <f aca="false">IF(F62&gt;0,F122/F62,0)</f>
        <v>0.800722994254286</v>
      </c>
      <c r="G131" s="165" t="n">
        <f aca="false">IF(G62&gt;0,G122/G62,0)</f>
        <v>6.08194553659479</v>
      </c>
    </row>
    <row r="132" customFormat="false" ht="15" hidden="false" customHeight="false" outlineLevel="0" collapsed="false">
      <c r="A132" s="5" t="s">
        <v>2060</v>
      </c>
      <c r="B132" s="59" t="s">
        <v>423</v>
      </c>
      <c r="C132" s="165" t="n">
        <f aca="false">IF(C63&gt;0,C123/C63,0)</f>
        <v>0.0330180501317747</v>
      </c>
      <c r="D132" s="165" t="n">
        <f aca="false">IF(D63&gt;0,D123/D63,0)</f>
        <v>0.164374341614178</v>
      </c>
      <c r="E132" s="165" t="n">
        <f aca="false">IF(E63&gt;0,E123/E63,0)</f>
        <v>0.177702023154898</v>
      </c>
      <c r="F132" s="165" t="n">
        <f aca="false">IF(F63&gt;0,F123/F63,0)</f>
        <v>0.800722994254286</v>
      </c>
      <c r="G132" s="165" t="n">
        <f aca="false">IF(G63&gt;0,G123/G63,0)</f>
        <v>6.08194553659479</v>
      </c>
    </row>
    <row r="133" customFormat="false" ht="15" hidden="false" customHeight="false" outlineLevel="0" collapsed="false">
      <c r="A133" s="5" t="s">
        <v>2061</v>
      </c>
      <c r="B133" s="59" t="s">
        <v>423</v>
      </c>
      <c r="C133" s="165" t="n">
        <f aca="false">IF(C64&gt;0,C124/C64,0)</f>
        <v>0.0330180501317747</v>
      </c>
      <c r="D133" s="165" t="n">
        <f aca="false">IF(D64&gt;0,D124/D64,0)</f>
        <v>0.164374341614178</v>
      </c>
      <c r="E133" s="165" t="n">
        <f aca="false">IF(E64&gt;0,E124/E64,0)</f>
        <v>0.109144489798042</v>
      </c>
      <c r="F133" s="165" t="n">
        <f aca="false">IF(F64&gt;0,F124/F64,0)</f>
        <v>0.4612491072</v>
      </c>
      <c r="G133" s="165" t="n">
        <f aca="false">IF(G64&gt;0,G124/G64,0)</f>
        <v>2.84482704872992</v>
      </c>
    </row>
    <row r="135" customFormat="false" ht="15" hidden="false" customHeight="false" outlineLevel="0" collapsed="false">
      <c r="A135" s="73" t="s">
        <v>2062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2063</v>
      </c>
      <c r="B136" s="59" t="s">
        <v>97</v>
      </c>
      <c r="C136" s="102" t="n">
        <f aca="false">IF(AND(ISNUMBER(C89),ISNUMBER(C87)),C89/C87,"SLO 不可達")</f>
        <v>1</v>
      </c>
      <c r="D136" s="102" t="n">
        <f aca="false">IF(AND(ISNUMBER(D89),ISNUMBER(D87)),D89/D87,"SLO 不可達")</f>
        <v>1</v>
      </c>
      <c r="E136" s="102" t="n">
        <f aca="false">IF(AND(ISNUMBER(E89),ISNUMBER(E87)),E89/E87,"SLO 不可達")</f>
        <v>0.590682621670942</v>
      </c>
      <c r="F136" s="102" t="n">
        <f aca="false">IF(AND(ISNUMBER(F89),ISNUMBER(F87)),F89/F87,"SLO 不可達")</f>
        <v>0.476661314845622</v>
      </c>
      <c r="G136" s="102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2064</v>
      </c>
      <c r="B137" s="59" t="s">
        <v>97</v>
      </c>
      <c r="C137" s="102" t="n">
        <f aca="false">IF(AND(ISNUMBER(C92),ISNUMBER(C90)),C92/C90,"SLO 不可達")</f>
        <v>1</v>
      </c>
      <c r="D137" s="102" t="n">
        <f aca="false">IF(AND(ISNUMBER(D92),ISNUMBER(D90)),D92/D90,"SLO 不可達")</f>
        <v>1</v>
      </c>
      <c r="E137" s="102" t="n">
        <f aca="false">IF(AND(ISNUMBER(E92),ISNUMBER(E90)),E92/E90,"SLO 不可達")</f>
        <v>0.605351415659953</v>
      </c>
      <c r="F137" s="102" t="n">
        <f aca="false">IF(AND(ISNUMBER(F92),ISNUMBER(F90)),F92/F90,"SLO 不可達")</f>
        <v>0.549046786720249</v>
      </c>
      <c r="G137" s="102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2065</v>
      </c>
      <c r="B138" s="59" t="s">
        <v>97</v>
      </c>
      <c r="C138" s="102" t="n">
        <f aca="false">IF(AND(ISNUMBER(C95),ISNUMBER(C93)),C95/C93,"SLO 不可達")</f>
        <v>1</v>
      </c>
      <c r="D138" s="102" t="n">
        <f aca="false">IF(AND(ISNUMBER(D95),ISNUMBER(D93)),D95/D93,"SLO 不可達")</f>
        <v>1</v>
      </c>
      <c r="E138" s="102" t="n">
        <f aca="false">IF(AND(ISNUMBER(E95),ISNUMBER(E93)),E95/E93,"SLO 不可達")</f>
        <v>0.60811339243541</v>
      </c>
      <c r="F138" s="102" t="n">
        <f aca="false">IF(AND(ISNUMBER(F95),ISNUMBER(F93)),F95/F93,"SLO 不可達")</f>
        <v>0.570332819404675</v>
      </c>
      <c r="G138" s="102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2066</v>
      </c>
      <c r="B139" s="59" t="s">
        <v>97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2067</v>
      </c>
      <c r="B140" s="59" t="s">
        <v>97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2068</v>
      </c>
      <c r="B141" s="59" t="s">
        <v>97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2069</v>
      </c>
      <c r="B142" s="59" t="s">
        <v>97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2070</v>
      </c>
      <c r="B143" s="59" t="s">
        <v>97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2071</v>
      </c>
      <c r="B144" s="59" t="s">
        <v>97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2072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2073</v>
      </c>
      <c r="B147" s="59" t="s">
        <v>423</v>
      </c>
      <c r="C147" s="165" t="n">
        <f aca="false">MIN(C87,C90,C93,C89,C92,C95)</f>
        <v>0.000102418941208421</v>
      </c>
      <c r="D147" s="165" t="n">
        <f aca="false">MIN(D87,D90,D93,D89,D92,D95)</f>
        <v>0.000736788526866689</v>
      </c>
      <c r="E147" s="165" t="n">
        <f aca="false">MIN(E87,E90,E93,E89,E92,E95)</f>
        <v>0.000400399903202603</v>
      </c>
      <c r="F147" s="165" t="n">
        <f aca="false">MIN(F87,F90,F93,F89,F92,F95)</f>
        <v>0.00201301212487506</v>
      </c>
      <c r="G147" s="165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2074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2075</v>
      </c>
      <c r="B149" s="59" t="s">
        <v>423</v>
      </c>
      <c r="C149" s="165" t="n">
        <f aca="false">MIN(C96,C99,C102,C98,C101,C104)</f>
        <v>0.000134816391831662</v>
      </c>
      <c r="D149" s="165" t="n">
        <f aca="false">MIN(D96,D99,D102,D98,D101,D104)</f>
        <v>0.000976510141922234</v>
      </c>
      <c r="E149" s="165" t="n">
        <f aca="false">MIN(E96,E99,E102,E98,E101,E104)</f>
        <v>0.000525988799905916</v>
      </c>
      <c r="F149" s="165" t="n">
        <f aca="false">MIN(F96,F99,F102,F98,F101,F104)</f>
        <v>0.00264441080851941</v>
      </c>
      <c r="G149" s="165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2076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2077</v>
      </c>
      <c r="B151" s="59" t="s">
        <v>423</v>
      </c>
      <c r="C151" s="166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6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6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6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6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2078</v>
      </c>
      <c r="B152" s="58"/>
      <c r="C152" s="111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1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1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1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1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2079</v>
      </c>
      <c r="B153" s="59" t="s">
        <v>93</v>
      </c>
      <c r="C153" s="101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1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1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1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1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2080</v>
      </c>
      <c r="B154" s="59" t="s">
        <v>423</v>
      </c>
      <c r="C154" s="166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6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6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6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6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2081</v>
      </c>
      <c r="B155" s="58"/>
      <c r="C155" s="111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1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1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1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1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2082</v>
      </c>
      <c r="B156" s="59" t="s">
        <v>93</v>
      </c>
      <c r="C156" s="101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1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1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1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1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2083</v>
      </c>
    </row>
    <row r="159" customFormat="false" ht="15" hidden="false" customHeight="false" outlineLevel="0" collapsed="false">
      <c r="A159" s="73" t="s">
        <v>2084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2085</v>
      </c>
      <c r="B160" s="59" t="s">
        <v>1150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2086</v>
      </c>
      <c r="B161" s="59" t="s">
        <v>1150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2087</v>
      </c>
      <c r="B162" s="59" t="s">
        <v>1150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5" t="s">
        <v>2088</v>
      </c>
    </row>
    <row r="2" customFormat="false" ht="15" hidden="false" customHeight="false" outlineLevel="0" collapsed="false">
      <c r="A2" s="71" t="s">
        <v>2089</v>
      </c>
    </row>
    <row r="4" customFormat="false" ht="42" hidden="false" customHeight="true" outlineLevel="0" collapsed="false">
      <c r="A4" s="57" t="s">
        <v>817</v>
      </c>
      <c r="C4" s="81" t="s">
        <v>79</v>
      </c>
      <c r="D4" s="81" t="s">
        <v>2090</v>
      </c>
      <c r="E4" s="81" t="s">
        <v>2091</v>
      </c>
      <c r="F4" s="81" t="s">
        <v>2092</v>
      </c>
      <c r="G4" s="81" t="s">
        <v>2093</v>
      </c>
      <c r="H4" s="81" t="s">
        <v>2094</v>
      </c>
      <c r="I4" s="81" t="s">
        <v>2095</v>
      </c>
      <c r="J4" s="81" t="s">
        <v>2096</v>
      </c>
      <c r="K4" s="81" t="s">
        <v>2097</v>
      </c>
      <c r="L4" s="81" t="s">
        <v>2098</v>
      </c>
      <c r="M4" s="81" t="s">
        <v>2099</v>
      </c>
      <c r="N4" s="81" t="s">
        <v>2100</v>
      </c>
      <c r="O4" s="81" t="s">
        <v>2101</v>
      </c>
      <c r="P4" s="82" t="s">
        <v>2102</v>
      </c>
      <c r="Q4" s="82" t="s">
        <v>2103</v>
      </c>
      <c r="R4" s="82" t="s">
        <v>2104</v>
      </c>
      <c r="S4" s="82" t="s">
        <v>2105</v>
      </c>
    </row>
    <row r="5" customFormat="false" ht="15" hidden="false" customHeight="false" outlineLevel="0" collapsed="false">
      <c r="A5" s="58" t="s">
        <v>1905</v>
      </c>
      <c r="C5" s="74" t="n">
        <f aca="false">INDEX(B5_SelT,1,5)</f>
        <v>0.7</v>
      </c>
      <c r="D5" s="95" t="n">
        <f aca="false">Har_In!$C$61</f>
        <v>0.5</v>
      </c>
      <c r="E5" s="95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8" t="s">
        <v>1910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5" t="n">
        <f aca="false">Har_In!$C$62</f>
        <v>0.6</v>
      </c>
      <c r="G6" s="95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8" t="s">
        <v>1907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8" t="s">
        <v>1950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5" t="n">
        <f aca="false">Har_In!$C$64</f>
        <v>0.5</v>
      </c>
      <c r="K8" s="95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8" t="s">
        <v>2106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5" t="n">
        <f aca="false">Har_In!$C$65</f>
        <v>1</v>
      </c>
      <c r="M9" s="95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8" t="s">
        <v>2107</v>
      </c>
      <c r="C10" s="112" t="n">
        <f aca="false">INDEX(B5_SelRet,1,5)</f>
        <v>0.67</v>
      </c>
      <c r="D10" s="112" t="n">
        <f aca="false">INDEX(B5_SelRet,1,5)</f>
        <v>0.67</v>
      </c>
      <c r="E10" s="112" t="n">
        <f aca="false">INDEX(B5_SelRet,1,5)</f>
        <v>0.67</v>
      </c>
      <c r="F10" s="112" t="n">
        <f aca="false">INDEX(B5_SelRet,1,5)</f>
        <v>0.67</v>
      </c>
      <c r="G10" s="112" t="n">
        <f aca="false">INDEX(B5_SelRet,1,5)</f>
        <v>0.67</v>
      </c>
      <c r="H10" s="112" t="n">
        <f aca="false">INDEX(B5_SelRet,1,5)</f>
        <v>0.67</v>
      </c>
      <c r="I10" s="112" t="n">
        <f aca="false">INDEX(B5_SelRet,1,5)</f>
        <v>0.67</v>
      </c>
      <c r="J10" s="112" t="n">
        <f aca="false">INDEX(B5_SelRet,1,5)</f>
        <v>0.67</v>
      </c>
      <c r="K10" s="112" t="n">
        <f aca="false">INDEX(B5_SelRet,1,5)</f>
        <v>0.67</v>
      </c>
      <c r="L10" s="112" t="n">
        <f aca="false">INDEX(B5_SelRet,1,5)</f>
        <v>0.67</v>
      </c>
      <c r="M10" s="112" t="n">
        <f aca="false">INDEX(B5_SelRet,1,5)</f>
        <v>0.67</v>
      </c>
      <c r="N10" s="115" t="n">
        <f aca="false">Har_In!$C$66</f>
        <v>0.0833333333333333</v>
      </c>
      <c r="O10" s="115" t="n">
        <f aca="false">Har_In!$D$66</f>
        <v>2</v>
      </c>
      <c r="P10" s="112" t="n">
        <f aca="false">INDEX(B5_SelRet,1,5)</f>
        <v>0.67</v>
      </c>
      <c r="Q10" s="112" t="n">
        <f aca="false">INDEX(B5_SelRet,1,5)</f>
        <v>0.67</v>
      </c>
      <c r="R10" s="112" t="n">
        <f aca="false">INDEX(B5_SelRet,1,5)</f>
        <v>0.67</v>
      </c>
      <c r="S10" s="112" t="n">
        <f aca="false">INDEX(B5_SelRet,1,5)</f>
        <v>0.67</v>
      </c>
    </row>
    <row r="11" customFormat="false" ht="15" hidden="false" customHeight="false" outlineLevel="0" collapsed="false">
      <c r="A11" s="59" t="s">
        <v>2108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5" t="n">
        <f aca="false">Har_In!$D$51</f>
        <v>0.65</v>
      </c>
      <c r="Q11" s="95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59" t="s">
        <v>2109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59" t="s">
        <v>2110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59" t="s">
        <v>2111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8" t="s">
        <v>2112</v>
      </c>
      <c r="C16" s="106" t="n">
        <f aca="false">Workload!$G$5*C5</f>
        <v>21</v>
      </c>
      <c r="D16" s="106" t="n">
        <f aca="false">Workload!$G$5*D5</f>
        <v>15</v>
      </c>
      <c r="E16" s="106" t="n">
        <f aca="false">Workload!$G$5*E5</f>
        <v>30</v>
      </c>
      <c r="F16" s="106" t="n">
        <f aca="false">Workload!$G$5*F5</f>
        <v>21</v>
      </c>
      <c r="G16" s="106" t="n">
        <f aca="false">Workload!$G$5*G5</f>
        <v>21</v>
      </c>
      <c r="H16" s="106" t="n">
        <f aca="false">Workload!$G$5*H5</f>
        <v>21</v>
      </c>
      <c r="I16" s="106" t="n">
        <f aca="false">Workload!$G$5*I5</f>
        <v>21</v>
      </c>
      <c r="J16" s="106" t="n">
        <f aca="false">Workload!$G$5*J5</f>
        <v>21</v>
      </c>
      <c r="K16" s="106" t="n">
        <f aca="false">Workload!$G$5*K5</f>
        <v>21</v>
      </c>
      <c r="L16" s="106" t="n">
        <f aca="false">Workload!$G$5*L5</f>
        <v>21</v>
      </c>
      <c r="M16" s="106" t="n">
        <f aca="false">Workload!$G$5*M5</f>
        <v>21</v>
      </c>
      <c r="N16" s="106" t="n">
        <f aca="false">Workload!$G$5*N5</f>
        <v>21</v>
      </c>
      <c r="O16" s="106" t="n">
        <f aca="false">Workload!$G$5*O5</f>
        <v>21</v>
      </c>
      <c r="P16" s="106" t="n">
        <f aca="false">Workload!$G$5*P5</f>
        <v>21</v>
      </c>
      <c r="Q16" s="106" t="n">
        <f aca="false">Workload!$G$5*Q5</f>
        <v>21</v>
      </c>
      <c r="R16" s="106" t="n">
        <f aca="false">Workload!$G$5*R5</f>
        <v>21</v>
      </c>
      <c r="S16" s="106" t="n">
        <f aca="false">Workload!$G$5*S5</f>
        <v>21</v>
      </c>
    </row>
    <row r="17" customFormat="false" ht="15" hidden="false" customHeight="false" outlineLevel="0" collapsed="false">
      <c r="A17" s="58" t="s">
        <v>2113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8" t="s">
        <v>2114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8" t="s">
        <v>2115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2116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2117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2118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2119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9" t="s">
        <v>2120</v>
      </c>
      <c r="C24" s="95" t="n">
        <f aca="false">(C21+C22+C23)/Harness!$G$21</f>
        <v>0.492530120481928</v>
      </c>
      <c r="D24" s="95" t="n">
        <f aca="false">(D21+D22+D23)/Harness!$G$21</f>
        <v>0.291084337349398</v>
      </c>
      <c r="E24" s="95" t="n">
        <f aca="false">(E21+E22+E23)/Harness!$G$21</f>
        <v>0.885783132530121</v>
      </c>
      <c r="F24" s="95" t="n">
        <f aca="false">(F21+F22+F23)/Harness!$G$21</f>
        <v>0.479036144578313</v>
      </c>
      <c r="G24" s="95" t="n">
        <f aca="false">(G21+G22+G23)/Harness!$G$21</f>
        <v>0.506024096385542</v>
      </c>
      <c r="H24" s="95" t="n">
        <f aca="false">(H21+H22+H23)/Harness!$G$21</f>
        <v>0.468915662650602</v>
      </c>
      <c r="I24" s="95" t="n">
        <f aca="false">(I21+I22+I23)/Harness!$G$21</f>
        <v>0.492530120481928</v>
      </c>
      <c r="J24" s="95" t="n">
        <f aca="false">(J21+J22+J23)/Harness!$G$21</f>
        <v>0.411566265060241</v>
      </c>
      <c r="K24" s="95" t="n">
        <f aca="false">(K21+K22+K23)/Harness!$G$21</f>
        <v>0.613975903614458</v>
      </c>
      <c r="L24" s="95" t="n">
        <f aca="false">(L21+L22+L23)/Harness!$G$21</f>
        <v>0.492530120481928</v>
      </c>
      <c r="M24" s="95" t="n">
        <f aca="false">(M21+M22+M23)/Harness!$G$21</f>
        <v>0.492530120481928</v>
      </c>
      <c r="N24" s="95" t="n">
        <f aca="false">(N21+N22+N23)/Harness!$G$21</f>
        <v>0.492530120481928</v>
      </c>
      <c r="O24" s="95" t="n">
        <f aca="false">(O21+O22+O23)/Harness!$G$21</f>
        <v>0.492530120481928</v>
      </c>
      <c r="P24" s="95" t="n">
        <f aca="false">(P21+P22+P23)/Harness!$G$21</f>
        <v>0.492530120481928</v>
      </c>
      <c r="Q24" s="95" t="n">
        <f aca="false">(Q21+Q22+Q23)/Harness!$G$21</f>
        <v>0.492530120481928</v>
      </c>
      <c r="R24" s="95" t="n">
        <f aca="false">(R21+R22+R23)/Harness!$G$21</f>
        <v>0.492530120481928</v>
      </c>
      <c r="S24" s="95" t="n">
        <f aca="false">(S21+S22+S23)/Harness!$G$21</f>
        <v>0.492530120481928</v>
      </c>
    </row>
    <row r="26" customFormat="false" ht="15" hidden="false" customHeight="false" outlineLevel="0" collapsed="false">
      <c r="A26" s="59" t="s">
        <v>2121</v>
      </c>
      <c r="C26" s="88" t="n">
        <f aca="false">IF(ISNUMBER(Unit_Cost!$M$21),(C21*Unit_Cost!$M$19+C22*(Unit_Cost!$M$20+Cache_Store!$M$17*C10/B4_Retain)+C23*Unit_Cost!$M$21)/1000000,"SLO 不可達")</f>
        <v>0.00417883481944361</v>
      </c>
      <c r="D26" s="88" t="n">
        <f aca="false">IF(ISNUMBER(Unit_Cost!$M$21),(D21*Unit_Cost!$M$19+D22*(Unit_Cost!$M$20+Cache_Store!$M$17*D10/B4_Retain)+D23*Unit_Cost!$M$21)/1000000,"SLO 不可達")</f>
        <v>0.00289789231996521</v>
      </c>
      <c r="E26" s="88" t="n">
        <f aca="false">IF(ISNUMBER(Unit_Cost!$M$21),(E21*Unit_Cost!$M$19+E22*(Unit_Cost!$M$20+Cache_Store!$M$17*E10/B4_Retain)+E23*Unit_Cost!$M$21)/1000000,"SLO 不可達")</f>
        <v>0.00623073310954582</v>
      </c>
      <c r="F26" s="88" t="n">
        <f aca="false">IF(ISNUMBER(Unit_Cost!$M$21),(F21*Unit_Cost!$M$19+F22*(Unit_Cost!$M$20+Cache_Store!$M$17*F10/B4_Retain)+F23*Unit_Cost!$M$21)/1000000,"SLO 不可達")</f>
        <v>0.00372660435037644</v>
      </c>
      <c r="G26" s="88" t="n">
        <f aca="false">IF(ISNUMBER(Unit_Cost!$M$21),(G21*Unit_Cost!$M$19+G22*(Unit_Cost!$M$20+Cache_Store!$M$17*G10/B4_Retain)+G23*Unit_Cost!$M$21)/1000000,"SLO 不可達")</f>
        <v>0.00463106528851078</v>
      </c>
      <c r="H26" s="88" t="n">
        <f aca="false">IF(ISNUMBER(Unit_Cost!$M$21),(H21*Unit_Cost!$M$19+H22*(Unit_Cost!$M$20+Cache_Store!$M$17*H10/B4_Retain)+H23*Unit_Cost!$M$21)/1000000,"SLO 不可達")</f>
        <v>0.00414500549402908</v>
      </c>
      <c r="I26" s="88" t="n">
        <f aca="false">IF(ISNUMBER(Unit_Cost!$M$21),(I21*Unit_Cost!$M$19+I22*(Unit_Cost!$M$20+Cache_Store!$M$17*I10/B4_Retain)+I23*Unit_Cost!$M$21)/1000000,"SLO 不可達")</f>
        <v>0.00417883481944361</v>
      </c>
      <c r="J26" s="88" t="n">
        <f aca="false">IF(ISNUMBER(Unit_Cost!$M$21),(J21*Unit_Cost!$M$19+J22*(Unit_Cost!$M$20+Cache_Store!$M$17*J10/B4_Retain)+J23*Unit_Cost!$M$21)/1000000,"SLO 不可達")</f>
        <v>0.0040628485608795</v>
      </c>
      <c r="K26" s="88" t="n">
        <f aca="false">IF(ISNUMBER(Unit_Cost!$M$21),(K21*Unit_Cost!$M$19+K22*(Unit_Cost!$M$20+Cache_Store!$M$17*K10/B4_Retain)+K23*Unit_Cost!$M$21)/1000000,"SLO 不可達")</f>
        <v>0.00435281420728977</v>
      </c>
      <c r="L26" s="88" t="n">
        <f aca="false">IF(ISNUMBER(Unit_Cost!$M$21),(L21*Unit_Cost!$M$19+L22*(Unit_Cost!$M$20+Cache_Store!$M$17*L10/B4_Retain)+L23*Unit_Cost!$M$21)/1000000,"SLO 不可達")</f>
        <v>0.00417883481944361</v>
      </c>
      <c r="M26" s="88" t="n">
        <f aca="false">IF(ISNUMBER(Unit_Cost!$M$21),(M21*Unit_Cost!$M$19+M22*(Unit_Cost!$M$20+Cache_Store!$M$17*M10/B4_Retain)+M23*Unit_Cost!$M$21)/1000000,"SLO 不可達")</f>
        <v>0.00417883481944361</v>
      </c>
      <c r="N26" s="88" t="n">
        <f aca="false">IF(ISNUMBER(Unit_Cost!$M$21),(N21*Unit_Cost!$M$19+N22*(Unit_Cost!$M$20+Cache_Store!$M$17*N10/B4_Retain)+N23*Unit_Cost!$M$21)/1000000,"SLO 不可達")</f>
        <v>0.00412194730382717</v>
      </c>
      <c r="O26" s="88" t="n">
        <f aca="false">IF(ISNUMBER(Unit_Cost!$M$21),(O21*Unit_Cost!$M$19+O22*(Unit_Cost!$M$20+Cache_Store!$M$17*O10/B4_Retain)+O23*Unit_Cost!$M$21)/1000000,"SLO 不可達")</f>
        <v>0.00430780140314224</v>
      </c>
      <c r="P26" s="88" t="n">
        <f aca="false">IF(ISNUMBER(Unit_Cost!$M$21),(P21*Unit_Cost!$M$19+P22*(Unit_Cost!$M$20+Cache_Store!$M$17*P10/B4_Retain)+P23*Unit_Cost!$M$21)/1000000,"SLO 不可達")</f>
        <v>0.00417883481944361</v>
      </c>
      <c r="Q26" s="88" t="n">
        <f aca="false">IF(ISNUMBER(Unit_Cost!$M$21),(Q21*Unit_Cost!$M$19+Q22*(Unit_Cost!$M$20+Cache_Store!$M$17*Q10/B4_Retain)+Q23*Unit_Cost!$M$21)/1000000,"SLO 不可達")</f>
        <v>0.00417883481944361</v>
      </c>
      <c r="R26" s="88" t="n">
        <f aca="false">IF(ISNUMBER(Unit_Cost!$M$21),(R21*Unit_Cost!$M$19+R22*(Unit_Cost!$M$20+Cache_Store!$M$17*R10/B4_Retain)+R23*Unit_Cost!$M$21)/1000000,"SLO 不可達")</f>
        <v>0.00417883481944361</v>
      </c>
      <c r="S26" s="88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59" t="s">
        <v>2122</v>
      </c>
      <c r="C27" s="101" t="n">
        <f aca="false">IF(ISNUMBER(INDEX(B5_SuccOvr_Luna,1,5)),INDEX(B5_SuccOvr_Luna,1,5),1/(1+(INDEX(B5_TaskLen,1,5)/C12)^C11))</f>
        <v>0.221752565013566</v>
      </c>
      <c r="D27" s="101" t="n">
        <f aca="false">IF(ISNUMBER(INDEX(B5_SuccOvr_Luna,1,5)),INDEX(B5_SuccOvr_Luna,1,5),1/(1+(INDEX(B5_TaskLen,1,5)/D12)^D11))</f>
        <v>0.221752565013566</v>
      </c>
      <c r="E27" s="101" t="n">
        <f aca="false">IF(ISNUMBER(INDEX(B5_SuccOvr_Luna,1,5)),INDEX(B5_SuccOvr_Luna,1,5),1/(1+(INDEX(B5_TaskLen,1,5)/E12)^E11))</f>
        <v>0.221752565013566</v>
      </c>
      <c r="F27" s="101" t="n">
        <f aca="false">IF(ISNUMBER(INDEX(B5_SuccOvr_Luna,1,5)),INDEX(B5_SuccOvr_Luna,1,5),1/(1+(INDEX(B5_TaskLen,1,5)/F12)^F11))</f>
        <v>0.221752565013566</v>
      </c>
      <c r="G27" s="101" t="n">
        <f aca="false">IF(ISNUMBER(INDEX(B5_SuccOvr_Luna,1,5)),INDEX(B5_SuccOvr_Luna,1,5),1/(1+(INDEX(B5_TaskLen,1,5)/G12)^G11))</f>
        <v>0.221752565013566</v>
      </c>
      <c r="H27" s="101" t="n">
        <f aca="false">IF(ISNUMBER(INDEX(B5_SuccOvr_Luna,1,5)),INDEX(B5_SuccOvr_Luna,1,5),1/(1+(INDEX(B5_TaskLen,1,5)/H12)^H11))</f>
        <v>0.221752565013566</v>
      </c>
      <c r="I27" s="101" t="n">
        <f aca="false">IF(ISNUMBER(INDEX(B5_SuccOvr_Luna,1,5)),INDEX(B5_SuccOvr_Luna,1,5),1/(1+(INDEX(B5_TaskLen,1,5)/I12)^I11))</f>
        <v>0.221752565013566</v>
      </c>
      <c r="J27" s="101" t="n">
        <f aca="false">IF(ISNUMBER(INDEX(B5_SuccOvr_Luna,1,5)),INDEX(B5_SuccOvr_Luna,1,5),1/(1+(INDEX(B5_TaskLen,1,5)/J12)^J11))</f>
        <v>0.221752565013566</v>
      </c>
      <c r="K27" s="101" t="n">
        <f aca="false">IF(ISNUMBER(INDEX(B5_SuccOvr_Luna,1,5)),INDEX(B5_SuccOvr_Luna,1,5),1/(1+(INDEX(B5_TaskLen,1,5)/K12)^K11))</f>
        <v>0.221752565013566</v>
      </c>
      <c r="L27" s="101" t="n">
        <f aca="false">IF(ISNUMBER(INDEX(B5_SuccOvr_Luna,1,5)),INDEX(B5_SuccOvr_Luna,1,5),1/(1+(INDEX(B5_TaskLen,1,5)/L12)^L11))</f>
        <v>0.221752565013566</v>
      </c>
      <c r="M27" s="101" t="n">
        <f aca="false">IF(ISNUMBER(INDEX(B5_SuccOvr_Luna,1,5)),INDEX(B5_SuccOvr_Luna,1,5),1/(1+(INDEX(B5_TaskLen,1,5)/M12)^M11))</f>
        <v>0.221752565013566</v>
      </c>
      <c r="N27" s="101" t="n">
        <f aca="false">IF(ISNUMBER(INDEX(B5_SuccOvr_Luna,1,5)),INDEX(B5_SuccOvr_Luna,1,5),1/(1+(INDEX(B5_TaskLen,1,5)/N12)^N11))</f>
        <v>0.221752565013566</v>
      </c>
      <c r="O27" s="101" t="n">
        <f aca="false">IF(ISNUMBER(INDEX(B5_SuccOvr_Luna,1,5)),INDEX(B5_SuccOvr_Luna,1,5),1/(1+(INDEX(B5_TaskLen,1,5)/O12)^O11))</f>
        <v>0.221752565013566</v>
      </c>
      <c r="P27" s="101" t="n">
        <f aca="false">IF(ISNUMBER(INDEX(B5_SuccOvr_Luna,1,5)),INDEX(B5_SuccOvr_Luna,1,5),1/(1+(INDEX(B5_TaskLen,1,5)/P12)^P11))</f>
        <v>0.251979116845894</v>
      </c>
      <c r="Q27" s="101" t="n">
        <f aca="false">IF(ISNUMBER(INDEX(B5_SuccOvr_Luna,1,5)),INDEX(B5_SuccOvr_Luna,1,5),1/(1+(INDEX(B5_TaskLen,1,5)/Q12)^Q11))</f>
        <v>0.157894736842105</v>
      </c>
      <c r="R27" s="101" t="n">
        <f aca="false">IF(ISNUMBER(INDEX(B5_SuccOvr_Luna,1,5)),INDEX(B5_SuccOvr_Luna,1,5),1/(1+(INDEX(B5_TaskLen,1,5)/R12)^R11))</f>
        <v>0.111111111111111</v>
      </c>
      <c r="S27" s="101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9" t="s">
        <v>2123</v>
      </c>
      <c r="C28" s="101" t="n">
        <f aca="false">IF(ISNUMBER(INDEX(B5_SuccOvr_Luna,1,5)),INDEX(B5_SuccOvr_Luna,1,5),1/(1+(INDEX(B5_TaskLen,1,5)/(C12*C9))^C11))</f>
        <v>0.323962245896112</v>
      </c>
      <c r="D28" s="101" t="n">
        <f aca="false">IF(ISNUMBER(INDEX(B5_SuccOvr_Luna,1,5)),INDEX(B5_SuccOvr_Luna,1,5),1/(1+(INDEX(B5_TaskLen,1,5)/(D12*D9))^D11))</f>
        <v>0.323962245896112</v>
      </c>
      <c r="E28" s="101" t="n">
        <f aca="false">IF(ISNUMBER(INDEX(B5_SuccOvr_Luna,1,5)),INDEX(B5_SuccOvr_Luna,1,5),1/(1+(INDEX(B5_TaskLen,1,5)/(E12*E9))^E11))</f>
        <v>0.323962245896112</v>
      </c>
      <c r="F28" s="101" t="n">
        <f aca="false">IF(ISNUMBER(INDEX(B5_SuccOvr_Luna,1,5)),INDEX(B5_SuccOvr_Luna,1,5),1/(1+(INDEX(B5_TaskLen,1,5)/(F12*F9))^F11))</f>
        <v>0.323962245896112</v>
      </c>
      <c r="G28" s="101" t="n">
        <f aca="false">IF(ISNUMBER(INDEX(B5_SuccOvr_Luna,1,5)),INDEX(B5_SuccOvr_Luna,1,5),1/(1+(INDEX(B5_TaskLen,1,5)/(G12*G9))^G11))</f>
        <v>0.323962245896112</v>
      </c>
      <c r="H28" s="101" t="n">
        <f aca="false">IF(ISNUMBER(INDEX(B5_SuccOvr_Luna,1,5)),INDEX(B5_SuccOvr_Luna,1,5),1/(1+(INDEX(B5_TaskLen,1,5)/(H12*H9))^H11))</f>
        <v>0.323962245896112</v>
      </c>
      <c r="I28" s="101" t="n">
        <f aca="false">IF(ISNUMBER(INDEX(B5_SuccOvr_Luna,1,5)),INDEX(B5_SuccOvr_Luna,1,5),1/(1+(INDEX(B5_TaskLen,1,5)/(I12*I9))^I11))</f>
        <v>0.323962245896112</v>
      </c>
      <c r="J28" s="101" t="n">
        <f aca="false">IF(ISNUMBER(INDEX(B5_SuccOvr_Luna,1,5)),INDEX(B5_SuccOvr_Luna,1,5),1/(1+(INDEX(B5_TaskLen,1,5)/(J12*J9))^J11))</f>
        <v>0.323962245896112</v>
      </c>
      <c r="K28" s="101" t="n">
        <f aca="false">IF(ISNUMBER(INDEX(B5_SuccOvr_Luna,1,5)),INDEX(B5_SuccOvr_Luna,1,5),1/(1+(INDEX(B5_TaskLen,1,5)/(K12*K9))^K11))</f>
        <v>0.323962245896112</v>
      </c>
      <c r="L28" s="101" t="n">
        <f aca="false">IF(ISNUMBER(INDEX(B5_SuccOvr_Luna,1,5)),INDEX(B5_SuccOvr_Luna,1,5),1/(1+(INDEX(B5_TaskLen,1,5)/(L12*L9))^L11))</f>
        <v>0.221752565013566</v>
      </c>
      <c r="M28" s="101" t="n">
        <f aca="false">IF(ISNUMBER(INDEX(B5_SuccOvr_Luna,1,5)),INDEX(B5_SuccOvr_Luna,1,5),1/(1+(INDEX(B5_TaskLen,1,5)/(M12*M9))^M11))</f>
        <v>0.446267899285204</v>
      </c>
      <c r="N28" s="101" t="n">
        <f aca="false">IF(ISNUMBER(INDEX(B5_SuccOvr_Luna,1,5)),INDEX(B5_SuccOvr_Luna,1,5),1/(1+(INDEX(B5_TaskLen,1,5)/(N12*N9))^N11))</f>
        <v>0.323962245896112</v>
      </c>
      <c r="O28" s="101" t="n">
        <f aca="false">IF(ISNUMBER(INDEX(B5_SuccOvr_Luna,1,5)),INDEX(B5_SuccOvr_Luna,1,5),1/(1+(INDEX(B5_TaskLen,1,5)/(O12*O9))^O11))</f>
        <v>0.323962245896112</v>
      </c>
      <c r="P28" s="101" t="n">
        <f aca="false">IF(ISNUMBER(INDEX(B5_SuccOvr_Luna,1,5)),INDEX(B5_SuccOvr_Luna,1,5),1/(1+(INDEX(B5_TaskLen,1,5)/(P12*P9))^P11))</f>
        <v>0.345803060206164</v>
      </c>
      <c r="Q28" s="101" t="n">
        <f aca="false">IF(ISNUMBER(INDEX(B5_SuccOvr_Luna,1,5)),INDEX(B5_SuccOvr_Luna,1,5),1/(1+(INDEX(B5_TaskLen,1,5)/(Q12*Q9))^Q11))</f>
        <v>0.272727272727273</v>
      </c>
      <c r="R28" s="101" t="n">
        <f aca="false">IF(ISNUMBER(INDEX(B5_SuccOvr_Luna,1,5)),INDEX(B5_SuccOvr_Luna,1,5),1/(1+(INDEX(B5_TaskLen,1,5)/(R12*R9))^R11))</f>
        <v>0.173706756584182</v>
      </c>
      <c r="S28" s="101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9" t="s">
        <v>2124</v>
      </c>
      <c r="C29" s="95" t="n">
        <f aca="false">IF(AND(ISNUMBER(C26),ISNUMBER(Harness!$G$67)),(C26/C28)/(Harness!$G$67/C27),"SLO 不可達")</f>
        <v>0.41488270725697</v>
      </c>
      <c r="D29" s="95" t="n">
        <f aca="false">IF(AND(ISNUMBER(D26),ISNUMBER(Harness!$G$67)),(D26/D28)/(Harness!$G$67/D27),"SLO 不可達")</f>
        <v>0.287708287834748</v>
      </c>
      <c r="E29" s="95" t="n">
        <f aca="false">IF(AND(ISNUMBER(E26),ISNUMBER(Harness!$G$67)),(E26/E28)/(Harness!$G$67/E27),"SLO 不可達")</f>
        <v>0.618599090984935</v>
      </c>
      <c r="F29" s="95" t="n">
        <f aca="false">IF(AND(ISNUMBER(F26),ISNUMBER(Harness!$G$67)),(F26/F28)/(Harness!$G$67/F27),"SLO 不可達")</f>
        <v>0.369984402007456</v>
      </c>
      <c r="G29" s="95" t="n">
        <f aca="false">IF(AND(ISNUMBER(G26),ISNUMBER(Harness!$G$67)),(G26/G28)/(Harness!$G$67/G27),"SLO 不可達")</f>
        <v>0.459781012506484</v>
      </c>
      <c r="H29" s="95" t="n">
        <f aca="false">IF(AND(ISNUMBER(H26),ISNUMBER(Harness!$G$67)),(H26/H28)/(Harness!$G$67/H27),"SLO 不可達")</f>
        <v>0.41152406717688</v>
      </c>
      <c r="I29" s="95" t="n">
        <f aca="false">IF(AND(ISNUMBER(I26),ISNUMBER(Harness!$G$67)),(I26/I28)/(Harness!$G$67/I27),"SLO 不可達")</f>
        <v>0.41488270725697</v>
      </c>
      <c r="J29" s="95" t="n">
        <f aca="false">IF(AND(ISNUMBER(J26),ISNUMBER(Harness!$G$67)),(J26/J28)/(Harness!$G$67/J27),"SLO 不可達")</f>
        <v>0.403367369839519</v>
      </c>
      <c r="K29" s="95" t="n">
        <f aca="false">IF(AND(ISNUMBER(K26),ISNUMBER(Harness!$G$67)),(K26/K28)/(Harness!$G$67/K27),"SLO 不可達")</f>
        <v>0.432155713383145</v>
      </c>
      <c r="L29" s="95" t="n">
        <f aca="false">IF(AND(ISNUMBER(L26),ISNUMBER(Harness!$G$67)),(L26/L28)/(Harness!$G$67/L27),"SLO 不可達")</f>
        <v>0.606109487924997</v>
      </c>
      <c r="M29" s="95" t="n">
        <f aca="false">IF(AND(ISNUMBER(M26),ISNUMBER(Harness!$G$67)),(M26/M28)/(Harness!$G$67/M27),"SLO 不可達")</f>
        <v>0.301178583182229</v>
      </c>
      <c r="N29" s="95" t="n">
        <f aca="false">IF(AND(ISNUMBER(N26),ISNUMBER(Harness!$G$67)),(N26/N28)/(Harness!$G$67/N27),"SLO 不可達")</f>
        <v>0.409234805985961</v>
      </c>
      <c r="O29" s="95" t="n">
        <f aca="false">IF(AND(ISNUMBER(O26),ISNUMBER(Harness!$G$67)),(O26/O28)/(Harness!$G$67/O27),"SLO 不可達")</f>
        <v>0.427686756161132</v>
      </c>
      <c r="P29" s="95" t="n">
        <f aca="false">IF(AND(ISNUMBER(P26),ISNUMBER(Harness!$G$67)),(P26/P28)/(Harness!$G$67/P27),"SLO 不可達")</f>
        <v>0.441658709984243</v>
      </c>
      <c r="Q29" s="95" t="n">
        <f aca="false">IF(AND(ISNUMBER(Q26),ISNUMBER(Harness!$G$67)),(Q26/Q28)/(Harness!$G$67/Q27),"SLO 不可達")</f>
        <v>0.350905493009209</v>
      </c>
      <c r="R29" s="95" t="n">
        <f aca="false">IF(AND(ISNUMBER(R26),ISNUMBER(Harness!$G$67)),(R26/R28)/(Harness!$G$67/R27),"SLO 不可達")</f>
        <v>0.387696483329916</v>
      </c>
      <c r="S29" s="95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59" t="s">
        <v>2125</v>
      </c>
      <c r="C30" s="88" t="n">
        <f aca="false">IF(ISNUMBER(Unit_Cost!$M$34),(C21*Unit_Cost!$M$32+C22*(Unit_Cost!$M$33+Cache_Store!$M$23*C10/B4_Retain)+C23*Unit_Cost!$M$34)/1000000,"SLO 不可達")</f>
        <v>0.0133545480583761</v>
      </c>
      <c r="D30" s="88" t="n">
        <f aca="false">IF(ISNUMBER(Unit_Cost!$M$34),(D21*Unit_Cost!$M$32+D22*(Unit_Cost!$M$33+Cache_Store!$M$23*D10/B4_Retain)+D23*Unit_Cost!$M$34)/1000000,"SLO 不可達")</f>
        <v>0.00926532106041937</v>
      </c>
      <c r="E30" s="88" t="n">
        <f aca="false">IF(ISNUMBER(Unit_Cost!$M$34),(E21*Unit_Cost!$M$32+E22*(Unit_Cost!$M$33+Cache_Store!$M$23*E10/B4_Retain)+E23*Unit_Cost!$M$34)/1000000,"SLO 不可達")</f>
        <v>0.0198988513129421</v>
      </c>
      <c r="F30" s="88" t="n">
        <f aca="false">IF(ISNUMBER(Unit_Cost!$M$34),(F21*Unit_Cost!$M$32+F22*(Unit_Cost!$M$33+Cache_Store!$M$23*F10/B4_Retain)+F23*Unit_Cost!$M$34)/1000000,"SLO 不可達")</f>
        <v>0.0119184647270107</v>
      </c>
      <c r="G30" s="88" t="n">
        <f aca="false">IF(ISNUMBER(Unit_Cost!$M$34),(G21*Unit_Cost!$M$32+G22*(Unit_Cost!$M$33+Cache_Store!$M$23*G10/B4_Retain)+G23*Unit_Cost!$M$34)/1000000,"SLO 不可達")</f>
        <v>0.0147906313897414</v>
      </c>
      <c r="H30" s="88" t="n">
        <f aca="false">IF(ISNUMBER(Unit_Cost!$M$34),(H21*Unit_Cost!$M$32+H22*(Unit_Cost!$M$33+Cache_Store!$M$23*H10/B4_Retain)+H23*Unit_Cost!$M$34)/1000000,"SLO 不可達")</f>
        <v>0.0132481317878791</v>
      </c>
      <c r="I30" s="88" t="n">
        <f aca="false">IF(ISNUMBER(Unit_Cost!$M$34),(I21*Unit_Cost!$M$32+I22*(Unit_Cost!$M$33+Cache_Store!$M$23*I10/B4_Retain)+I23*Unit_Cost!$M$34)/1000000,"SLO 不可達")</f>
        <v>0.0133545480583761</v>
      </c>
      <c r="J30" s="88" t="n">
        <f aca="false">IF(ISNUMBER(Unit_Cost!$M$34),(J21*Unit_Cost!$M$32+J22*(Unit_Cost!$M$33+Cache_Store!$M$23*J10/B4_Retain)+J23*Unit_Cost!$M$34)/1000000,"SLO 不可達")</f>
        <v>0.0129896922738152</v>
      </c>
      <c r="K30" s="88" t="n">
        <f aca="false">IF(ISNUMBER(Unit_Cost!$M$34),(K21*Unit_Cost!$M$32+K22*(Unit_Cost!$M$33+Cache_Store!$M$23*K10/B4_Retain)+K23*Unit_Cost!$M$34)/1000000,"SLO 不可達")</f>
        <v>0.0139018317352174</v>
      </c>
      <c r="L30" s="88" t="n">
        <f aca="false">IF(ISNUMBER(Unit_Cost!$M$34),(L21*Unit_Cost!$M$32+L22*(Unit_Cost!$M$33+Cache_Store!$M$23*L10/B4_Retain)+L23*Unit_Cost!$M$34)/1000000,"SLO 不可達")</f>
        <v>0.0133545480583761</v>
      </c>
      <c r="M30" s="88" t="n">
        <f aca="false">IF(ISNUMBER(Unit_Cost!$M$34),(M21*Unit_Cost!$M$32+M22*(Unit_Cost!$M$33+Cache_Store!$M$23*M10/B4_Retain)+M23*Unit_Cost!$M$34)/1000000,"SLO 不可達")</f>
        <v>0.0133545480583761</v>
      </c>
      <c r="N30" s="88" t="n">
        <f aca="false">IF(ISNUMBER(Unit_Cost!$M$34),(N21*Unit_Cost!$M$32+N22*(Unit_Cost!$M$33+Cache_Store!$M$23*N10/B4_Retain)+N23*Unit_Cost!$M$34)/1000000,"SLO 不可達")</f>
        <v>0.0132738471641295</v>
      </c>
      <c r="O30" s="88" t="n">
        <f aca="false">IF(ISNUMBER(Unit_Cost!$M$34),(O21*Unit_Cost!$M$32+O22*(Unit_Cost!$M$33+Cache_Store!$M$23*O10/B4_Retain)+O23*Unit_Cost!$M$34)/1000000,"SLO 不可達")</f>
        <v>0.0135375006538555</v>
      </c>
      <c r="P30" s="88" t="n">
        <f aca="false">IF(ISNUMBER(Unit_Cost!$M$34),(P21*Unit_Cost!$M$32+P22*(Unit_Cost!$M$33+Cache_Store!$M$23*P10/B4_Retain)+P23*Unit_Cost!$M$34)/1000000,"SLO 不可達")</f>
        <v>0.0133545480583761</v>
      </c>
      <c r="Q30" s="88" t="n">
        <f aca="false">IF(ISNUMBER(Unit_Cost!$M$34),(Q21*Unit_Cost!$M$32+Q22*(Unit_Cost!$M$33+Cache_Store!$M$23*Q10/B4_Retain)+Q23*Unit_Cost!$M$34)/1000000,"SLO 不可達")</f>
        <v>0.0133545480583761</v>
      </c>
      <c r="R30" s="88" t="n">
        <f aca="false">IF(ISNUMBER(Unit_Cost!$M$34),(R21*Unit_Cost!$M$32+R22*(Unit_Cost!$M$33+Cache_Store!$M$23*R10/B4_Retain)+R23*Unit_Cost!$M$34)/1000000,"SLO 不可達")</f>
        <v>0.0133545480583761</v>
      </c>
      <c r="S30" s="88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59" t="s">
        <v>2126</v>
      </c>
      <c r="C31" s="101" t="n">
        <f aca="false">IF(ISNUMBER(INDEX(B5_SuccOvr_Sol,1,5)),INDEX(B5_SuccOvr_Sol,1,5),1/(1+(INDEX(B5_TaskLen,1,5)/C13)^C11))</f>
        <v>0.5</v>
      </c>
      <c r="D31" s="101" t="n">
        <f aca="false">IF(ISNUMBER(INDEX(B5_SuccOvr_Sol,1,5)),INDEX(B5_SuccOvr_Sol,1,5),1/(1+(INDEX(B5_TaskLen,1,5)/D13)^D11))</f>
        <v>0.5</v>
      </c>
      <c r="E31" s="101" t="n">
        <f aca="false">IF(ISNUMBER(INDEX(B5_SuccOvr_Sol,1,5)),INDEX(B5_SuccOvr_Sol,1,5),1/(1+(INDEX(B5_TaskLen,1,5)/E13)^E11))</f>
        <v>0.5</v>
      </c>
      <c r="F31" s="101" t="n">
        <f aca="false">IF(ISNUMBER(INDEX(B5_SuccOvr_Sol,1,5)),INDEX(B5_SuccOvr_Sol,1,5),1/(1+(INDEX(B5_TaskLen,1,5)/F13)^F11))</f>
        <v>0.5</v>
      </c>
      <c r="G31" s="101" t="n">
        <f aca="false">IF(ISNUMBER(INDEX(B5_SuccOvr_Sol,1,5)),INDEX(B5_SuccOvr_Sol,1,5),1/(1+(INDEX(B5_TaskLen,1,5)/G13)^G11))</f>
        <v>0.5</v>
      </c>
      <c r="H31" s="101" t="n">
        <f aca="false">IF(ISNUMBER(INDEX(B5_SuccOvr_Sol,1,5)),INDEX(B5_SuccOvr_Sol,1,5),1/(1+(INDEX(B5_TaskLen,1,5)/H13)^H11))</f>
        <v>0.5</v>
      </c>
      <c r="I31" s="101" t="n">
        <f aca="false">IF(ISNUMBER(INDEX(B5_SuccOvr_Sol,1,5)),INDEX(B5_SuccOvr_Sol,1,5),1/(1+(INDEX(B5_TaskLen,1,5)/I13)^I11))</f>
        <v>0.5</v>
      </c>
      <c r="J31" s="101" t="n">
        <f aca="false">IF(ISNUMBER(INDEX(B5_SuccOvr_Sol,1,5)),INDEX(B5_SuccOvr_Sol,1,5),1/(1+(INDEX(B5_TaskLen,1,5)/J13)^J11))</f>
        <v>0.5</v>
      </c>
      <c r="K31" s="101" t="n">
        <f aca="false">IF(ISNUMBER(INDEX(B5_SuccOvr_Sol,1,5)),INDEX(B5_SuccOvr_Sol,1,5),1/(1+(INDEX(B5_TaskLen,1,5)/K13)^K11))</f>
        <v>0.5</v>
      </c>
      <c r="L31" s="101" t="n">
        <f aca="false">IF(ISNUMBER(INDEX(B5_SuccOvr_Sol,1,5)),INDEX(B5_SuccOvr_Sol,1,5),1/(1+(INDEX(B5_TaskLen,1,5)/L13)^L11))</f>
        <v>0.5</v>
      </c>
      <c r="M31" s="101" t="n">
        <f aca="false">IF(ISNUMBER(INDEX(B5_SuccOvr_Sol,1,5)),INDEX(B5_SuccOvr_Sol,1,5),1/(1+(INDEX(B5_TaskLen,1,5)/M13)^M11))</f>
        <v>0.5</v>
      </c>
      <c r="N31" s="101" t="n">
        <f aca="false">IF(ISNUMBER(INDEX(B5_SuccOvr_Sol,1,5)),INDEX(B5_SuccOvr_Sol,1,5),1/(1+(INDEX(B5_TaskLen,1,5)/N13)^N11))</f>
        <v>0.5</v>
      </c>
      <c r="O31" s="101" t="n">
        <f aca="false">IF(ISNUMBER(INDEX(B5_SuccOvr_Sol,1,5)),INDEX(B5_SuccOvr_Sol,1,5),1/(1+(INDEX(B5_TaskLen,1,5)/O13)^O11))</f>
        <v>0.5</v>
      </c>
      <c r="P31" s="101" t="n">
        <f aca="false">IF(ISNUMBER(INDEX(B5_SuccOvr_Sol,1,5)),INDEX(B5_SuccOvr_Sol,1,5),1/(1+(INDEX(B5_TaskLen,1,5)/P13)^P11))</f>
        <v>0.5</v>
      </c>
      <c r="Q31" s="101" t="n">
        <f aca="false">IF(ISNUMBER(INDEX(B5_SuccOvr_Sol,1,5)),INDEX(B5_SuccOvr_Sol,1,5),1/(1+(INDEX(B5_TaskLen,1,5)/Q13)^Q11))</f>
        <v>0.5</v>
      </c>
      <c r="R31" s="101" t="n">
        <f aca="false">IF(ISNUMBER(INDEX(B5_SuccOvr_Sol,1,5)),INDEX(B5_SuccOvr_Sol,1,5),1/(1+(INDEX(B5_TaskLen,1,5)/R13)^R11))</f>
        <v>0.372884880824589</v>
      </c>
      <c r="S31" s="101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9" t="s">
        <v>2127</v>
      </c>
      <c r="C32" s="101" t="n">
        <f aca="false">IF(ISNUMBER(INDEX(B5_SuccOvr_Sol,1,5)),INDEX(B5_SuccOvr_Sol,1,5),1/(1+(INDEX(B5_TaskLen,1,5)/(C13*C9))^C11))</f>
        <v>0.627115119175411</v>
      </c>
      <c r="D32" s="101" t="n">
        <f aca="false">IF(ISNUMBER(INDEX(B5_SuccOvr_Sol,1,5)),INDEX(B5_SuccOvr_Sol,1,5),1/(1+(INDEX(B5_TaskLen,1,5)/(D13*D9))^D11))</f>
        <v>0.627115119175411</v>
      </c>
      <c r="E32" s="101" t="n">
        <f aca="false">IF(ISNUMBER(INDEX(B5_SuccOvr_Sol,1,5)),INDEX(B5_SuccOvr_Sol,1,5),1/(1+(INDEX(B5_TaskLen,1,5)/(E13*E9))^E11))</f>
        <v>0.627115119175411</v>
      </c>
      <c r="F32" s="101" t="n">
        <f aca="false">IF(ISNUMBER(INDEX(B5_SuccOvr_Sol,1,5)),INDEX(B5_SuccOvr_Sol,1,5),1/(1+(INDEX(B5_TaskLen,1,5)/(F13*F9))^F11))</f>
        <v>0.627115119175411</v>
      </c>
      <c r="G32" s="101" t="n">
        <f aca="false">IF(ISNUMBER(INDEX(B5_SuccOvr_Sol,1,5)),INDEX(B5_SuccOvr_Sol,1,5),1/(1+(INDEX(B5_TaskLen,1,5)/(G13*G9))^G11))</f>
        <v>0.627115119175411</v>
      </c>
      <c r="H32" s="101" t="n">
        <f aca="false">IF(ISNUMBER(INDEX(B5_SuccOvr_Sol,1,5)),INDEX(B5_SuccOvr_Sol,1,5),1/(1+(INDEX(B5_TaskLen,1,5)/(H13*H9))^H11))</f>
        <v>0.627115119175411</v>
      </c>
      <c r="I32" s="101" t="n">
        <f aca="false">IF(ISNUMBER(INDEX(B5_SuccOvr_Sol,1,5)),INDEX(B5_SuccOvr_Sol,1,5),1/(1+(INDEX(B5_TaskLen,1,5)/(I13*I9))^I11))</f>
        <v>0.627115119175411</v>
      </c>
      <c r="J32" s="101" t="n">
        <f aca="false">IF(ISNUMBER(INDEX(B5_SuccOvr_Sol,1,5)),INDEX(B5_SuccOvr_Sol,1,5),1/(1+(INDEX(B5_TaskLen,1,5)/(J13*J9))^J11))</f>
        <v>0.627115119175411</v>
      </c>
      <c r="K32" s="101" t="n">
        <f aca="false">IF(ISNUMBER(INDEX(B5_SuccOvr_Sol,1,5)),INDEX(B5_SuccOvr_Sol,1,5),1/(1+(INDEX(B5_TaskLen,1,5)/(K13*K9))^K11))</f>
        <v>0.627115119175411</v>
      </c>
      <c r="L32" s="101" t="n">
        <f aca="false">IF(ISNUMBER(INDEX(B5_SuccOvr_Sol,1,5)),INDEX(B5_SuccOvr_Sol,1,5),1/(1+(INDEX(B5_TaskLen,1,5)/(L13*L9))^L11))</f>
        <v>0.5</v>
      </c>
      <c r="M32" s="101" t="n">
        <f aca="false">IF(ISNUMBER(INDEX(B5_SuccOvr_Sol,1,5)),INDEX(B5_SuccOvr_Sol,1,5),1/(1+(INDEX(B5_TaskLen,1,5)/(M13*M9))^M11))</f>
        <v>0.738796125036259</v>
      </c>
      <c r="N32" s="101" t="n">
        <f aca="false">IF(ISNUMBER(INDEX(B5_SuccOvr_Sol,1,5)),INDEX(B5_SuccOvr_Sol,1,5),1/(1+(INDEX(B5_TaskLen,1,5)/(N13*N9))^N11))</f>
        <v>0.627115119175411</v>
      </c>
      <c r="O32" s="101" t="n">
        <f aca="false">IF(ISNUMBER(INDEX(B5_SuccOvr_Sol,1,5)),INDEX(B5_SuccOvr_Sol,1,5),1/(1+(INDEX(B5_TaskLen,1,5)/(O13*O9))^O11))</f>
        <v>0.627115119175411</v>
      </c>
      <c r="P32" s="101" t="n">
        <f aca="false">IF(ISNUMBER(INDEX(B5_SuccOvr_Sol,1,5)),INDEX(B5_SuccOvr_Sol,1,5),1/(1+(INDEX(B5_TaskLen,1,5)/(P13*P9))^P11))</f>
        <v>0.610768963418861</v>
      </c>
      <c r="Q32" s="101" t="n">
        <f aca="false">IF(ISNUMBER(INDEX(B5_SuccOvr_Sol,1,5)),INDEX(B5_SuccOvr_Sol,1,5),1/(1+(INDEX(B5_TaskLen,1,5)/(Q13*Q9))^Q11))</f>
        <v>0.666666666666667</v>
      </c>
      <c r="R32" s="101" t="n">
        <f aca="false">IF(ISNUMBER(INDEX(B5_SuccOvr_Sol,1,5)),INDEX(B5_SuccOvr_Sol,1,5),1/(1+(INDEX(B5_TaskLen,1,5)/(R13*R9))^R11))</f>
        <v>0.5</v>
      </c>
      <c r="S32" s="101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9" t="s">
        <v>2128</v>
      </c>
      <c r="C33" s="161" t="n">
        <f aca="false">IF(AND(ISNUMBER(C30),ISNUMBER(Harness!$G$70)),(C30/C32)/(Harness!$G$70/C31),"SLO 不可達")</f>
        <v>0.4793958062764</v>
      </c>
      <c r="D33" s="161" t="n">
        <f aca="false">IF(AND(ISNUMBER(D30),ISNUMBER(Harness!$G$70)),(D30/D32)/(Harness!$G$70/D31),"SLO 不可達")</f>
        <v>0.332602499219998</v>
      </c>
      <c r="E33" s="161" t="n">
        <f aca="false">IF(AND(ISNUMBER(E30),ISNUMBER(Harness!$G$70)),(E30/E32)/(Harness!$G$70/E31),"SLO 不可達")</f>
        <v>0.714320381898577</v>
      </c>
      <c r="F33" s="161" t="n">
        <f aca="false">IF(AND(ISNUMBER(F30),ISNUMBER(Harness!$G$70)),(F30/F32)/(Harness!$G$70/F31),"SLO 不可達")</f>
        <v>0.427843906241251</v>
      </c>
      <c r="G33" s="161" t="n">
        <f aca="false">IF(AND(ISNUMBER(G30),ISNUMBER(Harness!$G$70)),(G30/G32)/(Harness!$G$70/G31),"SLO 不可達")</f>
        <v>0.530947706311549</v>
      </c>
      <c r="H33" s="161" t="n">
        <f aca="false">IF(AND(ISNUMBER(H30),ISNUMBER(Harness!$G$70)),(H30/H32)/(Harness!$G$70/H31),"SLO 不可達")</f>
        <v>0.475575720896288</v>
      </c>
      <c r="I33" s="161" t="n">
        <f aca="false">IF(AND(ISNUMBER(I30),ISNUMBER(Harness!$G$70)),(I30/I32)/(Harness!$G$70/I31),"SLO 不可達")</f>
        <v>0.4793958062764</v>
      </c>
      <c r="J33" s="161" t="n">
        <f aca="false">IF(AND(ISNUMBER(J30),ISNUMBER(Harness!$G$70)),(J30/J32)/(Harness!$G$70/J31),"SLO 不可達")</f>
        <v>0.466298370687445</v>
      </c>
      <c r="K33" s="161" t="n">
        <f aca="false">IF(AND(ISNUMBER(K30),ISNUMBER(Harness!$G$70)),(K30/K32)/(Harness!$G$70/K31),"SLO 不可達")</f>
        <v>0.499041959659832</v>
      </c>
      <c r="L33" s="161" t="n">
        <f aca="false">IF(AND(ISNUMBER(L30),ISNUMBER(Harness!$G$70)),(L30/L32)/(Harness!$G$70/L31),"SLO 不可達")</f>
        <v>0.601272716370434</v>
      </c>
      <c r="M33" s="161" t="n">
        <f aca="false">IF(AND(ISNUMBER(M30),ISNUMBER(Harness!$G$70)),(M30/M32)/(Harness!$G$70/M31),"SLO 不可達")</f>
        <v>0.406927361957214</v>
      </c>
      <c r="N33" s="161" t="n">
        <f aca="false">IF(AND(ISNUMBER(N30),ISNUMBER(Harness!$G$70)),(N30/N32)/(Harness!$G$70/N31),"SLO 不可達")</f>
        <v>0.476498840381676</v>
      </c>
      <c r="O33" s="161" t="n">
        <f aca="false">IF(AND(ISNUMBER(O30),ISNUMBER(Harness!$G$70)),(O30/O32)/(Harness!$G$70/O31),"SLO 不可達")</f>
        <v>0.485963359640006</v>
      </c>
      <c r="P33" s="161" t="n">
        <f aca="false">IF(AND(ISNUMBER(P30),ISNUMBER(Harness!$G$70)),(P30/P32)/(Harness!$G$70/P31),"SLO 不可達")</f>
        <v>0.492225990826981</v>
      </c>
      <c r="Q33" s="161" t="n">
        <f aca="false">IF(AND(ISNUMBER(Q30),ISNUMBER(Harness!$G$70)),(Q30/Q32)/(Harness!$G$70/Q31),"SLO 不可達")</f>
        <v>0.450954537277825</v>
      </c>
      <c r="R33" s="161" t="n">
        <f aca="false">IF(AND(ISNUMBER(R30),ISNUMBER(Harness!$G$70)),(R30/R32)/(Harness!$G$70/R31),"SLO 不可達")</f>
        <v>0.448411010373732</v>
      </c>
      <c r="S33" s="161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59" t="s">
        <v>2129</v>
      </c>
      <c r="C34" s="88" t="n">
        <f aca="false">IF(ISNUMBER(Unit_Cost!$M$47),(C21*Unit_Cost!$M$45+C22*(Unit_Cost!$M$46+Cache_Store!$M$29*C10/B4_Retain)+C23*Unit_Cost!$M$47)/1000000,"SLO 不可達")</f>
        <v>0.0647861711827245</v>
      </c>
      <c r="D34" s="88" t="n">
        <f aca="false">IF(ISNUMBER(Unit_Cost!$M$47),(D21*Unit_Cost!$M$45+D22*(Unit_Cost!$M$46+Cache_Store!$M$29*D10/B4_Retain)+D23*Unit_Cost!$M$47)/1000000,"SLO 不可達")</f>
        <v>0.04514889570112</v>
      </c>
      <c r="E34" s="88" t="n">
        <f aca="false">IF(ISNUMBER(Unit_Cost!$M$47),(E21*Unit_Cost!$M$45+E22*(Unit_Cost!$M$46+Cache_Store!$M$29*E10/B4_Retain)+E23*Unit_Cost!$M$47)/1000000,"SLO 不可達")</f>
        <v>0.0959324956920847</v>
      </c>
      <c r="F34" s="88" t="n">
        <f aca="false">IF(ISNUMBER(Unit_Cost!$M$47),(F21*Unit_Cost!$M$45+F22*(Unit_Cost!$M$46+Cache_Store!$M$29*F10/B4_Retain)+F23*Unit_Cost!$M$47)/1000000,"SLO 不可達")</f>
        <v>0.0574087394975229</v>
      </c>
      <c r="G34" s="88" t="n">
        <f aca="false">IF(ISNUMBER(Unit_Cost!$M$47),(G21*Unit_Cost!$M$45+G22*(Unit_Cost!$M$46+Cache_Store!$M$29*G10/B4_Retain)+G23*Unit_Cost!$M$47)/1000000,"SLO 不可達")</f>
        <v>0.072163602867926</v>
      </c>
      <c r="H34" s="88" t="n">
        <f aca="false">IF(ISNUMBER(Unit_Cost!$M$47),(H21*Unit_Cost!$M$45+H22*(Unit_Cost!$M$46+Cache_Store!$M$29*H10/B4_Retain)+H23*Unit_Cost!$M$47)/1000000,"SLO 不可達")</f>
        <v>0.0643479164046254</v>
      </c>
      <c r="I34" s="88" t="n">
        <f aca="false">IF(ISNUMBER(Unit_Cost!$M$47),(I21*Unit_Cost!$M$45+I22*(Unit_Cost!$M$46+Cache_Store!$M$29*I10/B4_Retain)+I23*Unit_Cost!$M$47)/1000000,"SLO 不可達")</f>
        <v>0.0647861711827245</v>
      </c>
      <c r="J34" s="88" t="n">
        <f aca="false">IF(ISNUMBER(Unit_Cost!$M$47),(J21*Unit_Cost!$M$45+J22*(Unit_Cost!$M$46+Cache_Store!$M$29*J10/B4_Retain)+J23*Unit_Cost!$M$47)/1000000,"SLO 不可達")</f>
        <v>0.0632835833720992</v>
      </c>
      <c r="K34" s="88" t="n">
        <f aca="false">IF(ISNUMBER(Unit_Cost!$M$47),(K21*Unit_Cost!$M$45+K22*(Unit_Cost!$M$46+Cache_Store!$M$29*K10/B4_Retain)+K23*Unit_Cost!$M$47)/1000000,"SLO 不可達")</f>
        <v>0.0670400528986624</v>
      </c>
      <c r="L34" s="88" t="n">
        <f aca="false">IF(ISNUMBER(Unit_Cost!$M$47),(L21*Unit_Cost!$M$45+L22*(Unit_Cost!$M$46+Cache_Store!$M$29*L10/B4_Retain)+L23*Unit_Cost!$M$47)/1000000,"SLO 不可達")</f>
        <v>0.0647861711827245</v>
      </c>
      <c r="M34" s="88" t="n">
        <f aca="false">IF(ISNUMBER(Unit_Cost!$M$47),(M21*Unit_Cost!$M$45+M22*(Unit_Cost!$M$46+Cache_Store!$M$29*M10/B4_Retain)+M23*Unit_Cost!$M$47)/1000000,"SLO 不可達")</f>
        <v>0.0647861711827245</v>
      </c>
      <c r="N34" s="88" t="n">
        <f aca="false">IF(ISNUMBER(Unit_Cost!$M$47),(N21*Unit_Cost!$M$45+N22*(Unit_Cost!$M$46+Cache_Store!$M$29*N10/B4_Retain)+N23*Unit_Cost!$M$47)/1000000,"SLO 不可達")</f>
        <v>0.0636138202347793</v>
      </c>
      <c r="O34" s="88" t="n">
        <f aca="false">IF(ISNUMBER(Unit_Cost!$M$47),(O21*Unit_Cost!$M$45+O22*(Unit_Cost!$M$46+Cache_Store!$M$29*O10/B4_Retain)+O23*Unit_Cost!$M$47)/1000000,"SLO 不可達")</f>
        <v>0.0674439440703957</v>
      </c>
      <c r="P34" s="88" t="n">
        <f aca="false">IF(ISNUMBER(Unit_Cost!$M$47),(P21*Unit_Cost!$M$45+P22*(Unit_Cost!$M$46+Cache_Store!$M$29*P10/B4_Retain)+P23*Unit_Cost!$M$47)/1000000,"SLO 不可達")</f>
        <v>0.0647861711827245</v>
      </c>
      <c r="Q34" s="88" t="n">
        <f aca="false">IF(ISNUMBER(Unit_Cost!$M$47),(Q21*Unit_Cost!$M$45+Q22*(Unit_Cost!$M$46+Cache_Store!$M$29*Q10/B4_Retain)+Q23*Unit_Cost!$M$47)/1000000,"SLO 不可達")</f>
        <v>0.0647861711827245</v>
      </c>
      <c r="R34" s="88" t="n">
        <f aca="false">IF(ISNUMBER(Unit_Cost!$M$47),(R21*Unit_Cost!$M$45+R22*(Unit_Cost!$M$46+Cache_Store!$M$29*R10/B4_Retain)+R23*Unit_Cost!$M$47)/1000000,"SLO 不可達")</f>
        <v>0.0647861711827245</v>
      </c>
      <c r="S34" s="88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59" t="s">
        <v>2130</v>
      </c>
      <c r="C35" s="101" t="n">
        <f aca="false">IF(ISNUMBER(INDEX(B5_SuccOvr_Astra,1,5)),INDEX(B5_SuccOvr_Astra,1,5),1/(1+(INDEX(B5_TaskLen,1,5)/C14)^C11))</f>
        <v>0.627115119175411</v>
      </c>
      <c r="D35" s="101" t="n">
        <f aca="false">IF(ISNUMBER(INDEX(B5_SuccOvr_Astra,1,5)),INDEX(B5_SuccOvr_Astra,1,5),1/(1+(INDEX(B5_TaskLen,1,5)/D14)^D11))</f>
        <v>0.627115119175411</v>
      </c>
      <c r="E35" s="101" t="n">
        <f aca="false">IF(ISNUMBER(INDEX(B5_SuccOvr_Astra,1,5)),INDEX(B5_SuccOvr_Astra,1,5),1/(1+(INDEX(B5_TaskLen,1,5)/E14)^E11))</f>
        <v>0.627115119175411</v>
      </c>
      <c r="F35" s="101" t="n">
        <f aca="false">IF(ISNUMBER(INDEX(B5_SuccOvr_Astra,1,5)),INDEX(B5_SuccOvr_Astra,1,5),1/(1+(INDEX(B5_TaskLen,1,5)/F14)^F11))</f>
        <v>0.627115119175411</v>
      </c>
      <c r="G35" s="101" t="n">
        <f aca="false">IF(ISNUMBER(INDEX(B5_SuccOvr_Astra,1,5)),INDEX(B5_SuccOvr_Astra,1,5),1/(1+(INDEX(B5_TaskLen,1,5)/G14)^G11))</f>
        <v>0.627115119175411</v>
      </c>
      <c r="H35" s="101" t="n">
        <f aca="false">IF(ISNUMBER(INDEX(B5_SuccOvr_Astra,1,5)),INDEX(B5_SuccOvr_Astra,1,5),1/(1+(INDEX(B5_TaskLen,1,5)/H14)^H11))</f>
        <v>0.627115119175411</v>
      </c>
      <c r="I35" s="101" t="n">
        <f aca="false">IF(ISNUMBER(INDEX(B5_SuccOvr_Astra,1,5)),INDEX(B5_SuccOvr_Astra,1,5),1/(1+(INDEX(B5_TaskLen,1,5)/I14)^I11))</f>
        <v>0.627115119175411</v>
      </c>
      <c r="J35" s="101" t="n">
        <f aca="false">IF(ISNUMBER(INDEX(B5_SuccOvr_Astra,1,5)),INDEX(B5_SuccOvr_Astra,1,5),1/(1+(INDEX(B5_TaskLen,1,5)/J14)^J11))</f>
        <v>0.627115119175411</v>
      </c>
      <c r="K35" s="101" t="n">
        <f aca="false">IF(ISNUMBER(INDEX(B5_SuccOvr_Astra,1,5)),INDEX(B5_SuccOvr_Astra,1,5),1/(1+(INDEX(B5_TaskLen,1,5)/K14)^K11))</f>
        <v>0.627115119175411</v>
      </c>
      <c r="L35" s="101" t="n">
        <f aca="false">IF(ISNUMBER(INDEX(B5_SuccOvr_Astra,1,5)),INDEX(B5_SuccOvr_Astra,1,5),1/(1+(INDEX(B5_TaskLen,1,5)/L14)^L11))</f>
        <v>0.627115119175411</v>
      </c>
      <c r="M35" s="101" t="n">
        <f aca="false">IF(ISNUMBER(INDEX(B5_SuccOvr_Astra,1,5)),INDEX(B5_SuccOvr_Astra,1,5),1/(1+(INDEX(B5_TaskLen,1,5)/M14)^M11))</f>
        <v>0.627115119175411</v>
      </c>
      <c r="N35" s="101" t="n">
        <f aca="false">IF(ISNUMBER(INDEX(B5_SuccOvr_Astra,1,5)),INDEX(B5_SuccOvr_Astra,1,5),1/(1+(INDEX(B5_TaskLen,1,5)/N14)^N11))</f>
        <v>0.627115119175411</v>
      </c>
      <c r="O35" s="101" t="n">
        <f aca="false">IF(ISNUMBER(INDEX(B5_SuccOvr_Astra,1,5)),INDEX(B5_SuccOvr_Astra,1,5),1/(1+(INDEX(B5_TaskLen,1,5)/O14)^O11))</f>
        <v>0.627115119175411</v>
      </c>
      <c r="P35" s="101" t="n">
        <f aca="false">IF(ISNUMBER(INDEX(B5_SuccOvr_Astra,1,5)),INDEX(B5_SuccOvr_Astra,1,5),1/(1+(INDEX(B5_TaskLen,1,5)/P14)^P11))</f>
        <v>0.610768963418861</v>
      </c>
      <c r="Q35" s="101" t="n">
        <f aca="false">IF(ISNUMBER(INDEX(B5_SuccOvr_Astra,1,5)),INDEX(B5_SuccOvr_Astra,1,5),1/(1+(INDEX(B5_TaskLen,1,5)/Q14)^Q11))</f>
        <v>0.666666666666667</v>
      </c>
      <c r="R35" s="101" t="n">
        <f aca="false">IF(ISNUMBER(INDEX(B5_SuccOvr_Astra,1,5)),INDEX(B5_SuccOvr_Astra,1,5),1/(1+(INDEX(B5_TaskLen,1,5)/R14)^R11))</f>
        <v>0.559427839262904</v>
      </c>
      <c r="S35" s="101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9" t="s">
        <v>2131</v>
      </c>
      <c r="C36" s="101" t="n">
        <f aca="false">IF(ISNUMBER(INDEX(B5_SuccOvr_Astra,1,5)),INDEX(B5_SuccOvr_Astra,1,5),1/(1+(INDEX(B5_TaskLen,1,5)/(C14*C9))^C11))</f>
        <v>0.738796125036259</v>
      </c>
      <c r="D36" s="101" t="n">
        <f aca="false">IF(ISNUMBER(INDEX(B5_SuccOvr_Astra,1,5)),INDEX(B5_SuccOvr_Astra,1,5),1/(1+(INDEX(B5_TaskLen,1,5)/(D14*D9))^D11))</f>
        <v>0.738796125036259</v>
      </c>
      <c r="E36" s="101" t="n">
        <f aca="false">IF(ISNUMBER(INDEX(B5_SuccOvr_Astra,1,5)),INDEX(B5_SuccOvr_Astra,1,5),1/(1+(INDEX(B5_TaskLen,1,5)/(E14*E9))^E11))</f>
        <v>0.738796125036259</v>
      </c>
      <c r="F36" s="101" t="n">
        <f aca="false">IF(ISNUMBER(INDEX(B5_SuccOvr_Astra,1,5)),INDEX(B5_SuccOvr_Astra,1,5),1/(1+(INDEX(B5_TaskLen,1,5)/(F14*F9))^F11))</f>
        <v>0.738796125036259</v>
      </c>
      <c r="G36" s="101" t="n">
        <f aca="false">IF(ISNUMBER(INDEX(B5_SuccOvr_Astra,1,5)),INDEX(B5_SuccOvr_Astra,1,5),1/(1+(INDEX(B5_TaskLen,1,5)/(G14*G9))^G11))</f>
        <v>0.738796125036259</v>
      </c>
      <c r="H36" s="101" t="n">
        <f aca="false">IF(ISNUMBER(INDEX(B5_SuccOvr_Astra,1,5)),INDEX(B5_SuccOvr_Astra,1,5),1/(1+(INDEX(B5_TaskLen,1,5)/(H14*H9))^H11))</f>
        <v>0.738796125036259</v>
      </c>
      <c r="I36" s="101" t="n">
        <f aca="false">IF(ISNUMBER(INDEX(B5_SuccOvr_Astra,1,5)),INDEX(B5_SuccOvr_Astra,1,5),1/(1+(INDEX(B5_TaskLen,1,5)/(I14*I9))^I11))</f>
        <v>0.738796125036259</v>
      </c>
      <c r="J36" s="101" t="n">
        <f aca="false">IF(ISNUMBER(INDEX(B5_SuccOvr_Astra,1,5)),INDEX(B5_SuccOvr_Astra,1,5),1/(1+(INDEX(B5_TaskLen,1,5)/(J14*J9))^J11))</f>
        <v>0.738796125036259</v>
      </c>
      <c r="K36" s="101" t="n">
        <f aca="false">IF(ISNUMBER(INDEX(B5_SuccOvr_Astra,1,5)),INDEX(B5_SuccOvr_Astra,1,5),1/(1+(INDEX(B5_TaskLen,1,5)/(K14*K9))^K11))</f>
        <v>0.738796125036259</v>
      </c>
      <c r="L36" s="101" t="n">
        <f aca="false">IF(ISNUMBER(INDEX(B5_SuccOvr_Astra,1,5)),INDEX(B5_SuccOvr_Astra,1,5),1/(1+(INDEX(B5_TaskLen,1,5)/(L14*L9))^L11))</f>
        <v>0.627115119175411</v>
      </c>
      <c r="M36" s="101" t="n">
        <f aca="false">IF(ISNUMBER(INDEX(B5_SuccOvr_Astra,1,5)),INDEX(B5_SuccOvr_Astra,1,5),1/(1+(INDEX(B5_TaskLen,1,5)/(M14*M9))^M11))</f>
        <v>0.826293243415818</v>
      </c>
      <c r="N36" s="101" t="n">
        <f aca="false">IF(ISNUMBER(INDEX(B5_SuccOvr_Astra,1,5)),INDEX(B5_SuccOvr_Astra,1,5),1/(1+(INDEX(B5_TaskLen,1,5)/(N14*N9))^N11))</f>
        <v>0.738796125036259</v>
      </c>
      <c r="O36" s="101" t="n">
        <f aca="false">IF(ISNUMBER(INDEX(B5_SuccOvr_Astra,1,5)),INDEX(B5_SuccOvr_Astra,1,5),1/(1+(INDEX(B5_TaskLen,1,5)/(O14*O9))^O11))</f>
        <v>0.738796125036259</v>
      </c>
      <c r="P36" s="101" t="n">
        <f aca="false">IF(ISNUMBER(INDEX(B5_SuccOvr_Astra,1,5)),INDEX(B5_SuccOvr_Astra,1,5),1/(1+(INDEX(B5_TaskLen,1,5)/(P14*P9))^P11))</f>
        <v>0.71117372060607</v>
      </c>
      <c r="Q36" s="101" t="n">
        <f aca="false">IF(ISNUMBER(INDEX(B5_SuccOvr_Astra,1,5)),INDEX(B5_SuccOvr_Astra,1,5),1/(1+(INDEX(B5_TaskLen,1,5)/(Q14*Q9))^Q11))</f>
        <v>0.8</v>
      </c>
      <c r="R36" s="101" t="n">
        <f aca="false">IF(ISNUMBER(INDEX(B5_SuccOvr_Astra,1,5)),INDEX(B5_SuccOvr_Astra,1,5),1/(1+(INDEX(B5_TaskLen,1,5)/(R14*R9))^R11))</f>
        <v>0.681071571722459</v>
      </c>
      <c r="S36" s="101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9" t="s">
        <v>2132</v>
      </c>
      <c r="C37" s="161" t="n">
        <f aca="false">IF(AND(ISNUMBER(C34),ISNUMBER(Harness!$G$73)),(C34/C36)/(Harness!$G$73/C35),"SLO 不可達")</f>
        <v>0.519797101771478</v>
      </c>
      <c r="D37" s="161" t="n">
        <f aca="false">IF(AND(ISNUMBER(D34),ISNUMBER(Harness!$G$73)),(D34/D36)/(Harness!$G$73/D35),"SLO 不可達")</f>
        <v>0.362241890594745</v>
      </c>
      <c r="E37" s="161" t="n">
        <f aca="false">IF(AND(ISNUMBER(E34),ISNUMBER(Harness!$G$73)),(E34/E36)/(Harness!$G$73/E35),"SLO 不可達")</f>
        <v>0.769692548828187</v>
      </c>
      <c r="F37" s="161" t="n">
        <f aca="false">IF(AND(ISNUMBER(F34),ISNUMBER(Harness!$G$73)),(F34/F36)/(Harness!$G$73/F35),"SLO 不可達")</f>
        <v>0.460605957450429</v>
      </c>
      <c r="G37" s="161" t="n">
        <f aca="false">IF(AND(ISNUMBER(G34),ISNUMBER(Harness!$G$73)),(G34/G36)/(Harness!$G$73/G35),"SLO 不可達")</f>
        <v>0.578988246092527</v>
      </c>
      <c r="H37" s="161" t="n">
        <f aca="false">IF(AND(ISNUMBER(H34),ISNUMBER(Harness!$G$73)),(H34/H36)/(Harness!$G$73/H35),"SLO 不可達")</f>
        <v>0.516280864288468</v>
      </c>
      <c r="I37" s="161" t="n">
        <f aca="false">IF(AND(ISNUMBER(I34),ISNUMBER(Harness!$G$73)),(I34/I36)/(Harness!$G$73/I35),"SLO 不可達")</f>
        <v>0.519797101771478</v>
      </c>
      <c r="J37" s="161" t="n">
        <f aca="false">IF(AND(ISNUMBER(J34),ISNUMBER(Harness!$G$73)),(J34/J36)/(Harness!$G$73/J35),"SLO 不可達")</f>
        <v>0.507741430401159</v>
      </c>
      <c r="K37" s="161" t="n">
        <f aca="false">IF(AND(ISNUMBER(K34),ISNUMBER(Harness!$G$73)),(K34/K36)/(Harness!$G$73/K35),"SLO 不可達")</f>
        <v>0.537880608826957</v>
      </c>
      <c r="L37" s="161" t="n">
        <f aca="false">IF(AND(ISNUMBER(L34),ISNUMBER(Harness!$G$73)),(L34/L36)/(Harness!$G$73/L35),"SLO 不可達")</f>
        <v>0.61236617145955</v>
      </c>
      <c r="M37" s="161" t="n">
        <f aca="false">IF(AND(ISNUMBER(M34),ISNUMBER(Harness!$G$73)),(M34/M36)/(Harness!$G$73/M35),"SLO 不可達")</f>
        <v>0.464755203620359</v>
      </c>
      <c r="N37" s="161" t="n">
        <f aca="false">IF(AND(ISNUMBER(N34),ISNUMBER(Harness!$G$73)),(N34/N36)/(Harness!$G$73/N35),"SLO 不可達")</f>
        <v>0.510391010720315</v>
      </c>
      <c r="O37" s="161" t="n">
        <f aca="false">IF(AND(ISNUMBER(O34),ISNUMBER(Harness!$G$73)),(O34/O36)/(Harness!$G$73/O35),"SLO 不可達")</f>
        <v>0.541121137734059</v>
      </c>
      <c r="P37" s="161" t="n">
        <f aca="false">IF(AND(ISNUMBER(P34),ISNUMBER(Harness!$G$73)),(P34/P36)/(Harness!$G$73/P35),"SLO 不可達")</f>
        <v>0.525911237912991</v>
      </c>
      <c r="Q37" s="161" t="n">
        <f aca="false">IF(AND(ISNUMBER(Q34),ISNUMBER(Harness!$G$73)),(Q34/Q36)/(Harness!$G$73/Q35),"SLO 不可達")</f>
        <v>0.510305142882958</v>
      </c>
      <c r="R37" s="161" t="n">
        <f aca="false">IF(AND(ISNUMBER(R34),ISNUMBER(Harness!$G$73)),(R34/R36)/(Harness!$G$73/R35),"SLO 不可達")</f>
        <v>0.502993662282698</v>
      </c>
      <c r="S37" s="161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2133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2134</v>
      </c>
    </row>
    <row r="2" customFormat="false" ht="15" hidden="false" customHeight="false" outlineLevel="0" collapsed="false">
      <c r="A2" s="71" t="s">
        <v>2135</v>
      </c>
    </row>
    <row r="4" customFormat="false" ht="15" hidden="false" customHeight="false" outlineLevel="0" collapsed="false">
      <c r="A4" s="81" t="s">
        <v>2136</v>
      </c>
      <c r="B4" s="81" t="s">
        <v>77</v>
      </c>
      <c r="C4" s="81" t="s">
        <v>79</v>
      </c>
      <c r="D4" s="81" t="s">
        <v>1137</v>
      </c>
      <c r="E4" s="81" t="s">
        <v>1138</v>
      </c>
      <c r="F4" s="81" t="s">
        <v>81</v>
      </c>
      <c r="G4" s="81" t="s">
        <v>2137</v>
      </c>
    </row>
    <row r="5" customFormat="false" ht="15" hidden="false" customHeight="false" outlineLevel="0" collapsed="false">
      <c r="A5" s="58" t="s">
        <v>2138</v>
      </c>
      <c r="B5" s="58" t="s">
        <v>89</v>
      </c>
      <c r="C5" s="167" t="s">
        <v>1199</v>
      </c>
      <c r="D5" s="59" t="s">
        <v>608</v>
      </c>
      <c r="E5" s="59" t="s">
        <v>608</v>
      </c>
      <c r="F5" s="59" t="s">
        <v>86</v>
      </c>
      <c r="G5" s="85" t="s">
        <v>2139</v>
      </c>
    </row>
    <row r="6" customFormat="false" ht="15" hidden="false" customHeight="false" outlineLevel="0" collapsed="false">
      <c r="A6" s="58" t="s">
        <v>2140</v>
      </c>
      <c r="B6" s="58" t="s">
        <v>2141</v>
      </c>
      <c r="C6" s="168" t="n">
        <v>1</v>
      </c>
      <c r="D6" s="75" t="n">
        <v>1</v>
      </c>
      <c r="E6" s="75" t="n">
        <v>2</v>
      </c>
      <c r="F6" s="59" t="s">
        <v>94</v>
      </c>
      <c r="G6" s="85" t="s">
        <v>2142</v>
      </c>
    </row>
    <row r="7" customFormat="false" ht="15" hidden="false" customHeight="false" outlineLevel="0" collapsed="false">
      <c r="A7" s="58" t="s">
        <v>2143</v>
      </c>
      <c r="B7" s="58" t="s">
        <v>2141</v>
      </c>
      <c r="C7" s="168" t="n">
        <v>2</v>
      </c>
      <c r="D7" s="75" t="n">
        <v>0</v>
      </c>
      <c r="E7" s="75" t="n">
        <v>6</v>
      </c>
      <c r="F7" s="59" t="s">
        <v>94</v>
      </c>
      <c r="G7" s="85" t="s">
        <v>2144</v>
      </c>
    </row>
    <row r="8" customFormat="false" ht="15" hidden="false" customHeight="false" outlineLevel="0" collapsed="false">
      <c r="A8" s="58" t="s">
        <v>2145</v>
      </c>
      <c r="B8" s="59" t="s">
        <v>97</v>
      </c>
      <c r="C8" s="168" t="n">
        <v>1</v>
      </c>
      <c r="D8" s="75" t="n">
        <v>0.5</v>
      </c>
      <c r="E8" s="75" t="n">
        <v>7</v>
      </c>
      <c r="F8" s="59" t="s">
        <v>94</v>
      </c>
      <c r="G8" s="85" t="s">
        <v>2146</v>
      </c>
    </row>
    <row r="9" customFormat="false" ht="39.55" hidden="false" customHeight="false" outlineLevel="0" collapsed="false">
      <c r="A9" s="58" t="s">
        <v>2147</v>
      </c>
      <c r="B9" s="59" t="s">
        <v>93</v>
      </c>
      <c r="C9" s="169" t="n">
        <v>0.6</v>
      </c>
      <c r="D9" s="63" t="n">
        <v>0</v>
      </c>
      <c r="E9" s="63" t="n">
        <v>1</v>
      </c>
      <c r="F9" s="59" t="s">
        <v>94</v>
      </c>
      <c r="G9" s="91" t="s">
        <v>2148</v>
      </c>
    </row>
    <row r="10" customFormat="false" ht="15" hidden="false" customHeight="false" outlineLevel="0" collapsed="false">
      <c r="A10" s="58" t="s">
        <v>2149</v>
      </c>
      <c r="B10" s="59" t="s">
        <v>93</v>
      </c>
      <c r="C10" s="169" t="n">
        <v>0.4</v>
      </c>
      <c r="D10" s="63" t="n">
        <v>0</v>
      </c>
      <c r="E10" s="63" t="n">
        <v>1</v>
      </c>
      <c r="F10" s="59" t="s">
        <v>94</v>
      </c>
      <c r="G10" s="85" t="s">
        <v>2150</v>
      </c>
    </row>
    <row r="11" customFormat="false" ht="26.85" hidden="false" customHeight="false" outlineLevel="0" collapsed="false">
      <c r="A11" s="58" t="s">
        <v>2151</v>
      </c>
      <c r="B11" s="59" t="s">
        <v>93</v>
      </c>
      <c r="C11" s="169" t="n">
        <v>0</v>
      </c>
      <c r="D11" s="63" t="n">
        <v>0</v>
      </c>
      <c r="E11" s="63" t="n">
        <v>1</v>
      </c>
      <c r="F11" s="59" t="s">
        <v>94</v>
      </c>
      <c r="G11" s="91" t="s">
        <v>2152</v>
      </c>
    </row>
    <row r="12" customFormat="false" ht="26.85" hidden="false" customHeight="false" outlineLevel="0" collapsed="false">
      <c r="A12" s="58" t="s">
        <v>2153</v>
      </c>
      <c r="B12" s="59" t="s">
        <v>93</v>
      </c>
      <c r="C12" s="169" t="n">
        <v>0</v>
      </c>
      <c r="D12" s="63" t="n">
        <v>0</v>
      </c>
      <c r="E12" s="63" t="n">
        <v>1</v>
      </c>
      <c r="F12" s="59" t="s">
        <v>94</v>
      </c>
      <c r="G12" s="91" t="s">
        <v>2152</v>
      </c>
    </row>
    <row r="13" customFormat="false" ht="15" hidden="false" customHeight="false" outlineLevel="0" collapsed="false">
      <c r="A13" s="58" t="s">
        <v>2154</v>
      </c>
      <c r="B13" s="59" t="s">
        <v>93</v>
      </c>
      <c r="C13" s="169" t="n">
        <v>0</v>
      </c>
      <c r="D13" s="63" t="n">
        <v>0</v>
      </c>
      <c r="E13" s="63" t="n">
        <v>1</v>
      </c>
      <c r="F13" s="59" t="s">
        <v>2155</v>
      </c>
      <c r="G13" s="85" t="s">
        <v>2156</v>
      </c>
    </row>
    <row r="14" customFormat="false" ht="15" hidden="false" customHeight="false" outlineLevel="0" collapsed="false">
      <c r="A14" s="59" t="s">
        <v>2157</v>
      </c>
      <c r="B14" s="59" t="s">
        <v>97</v>
      </c>
      <c r="C14" s="168" t="n">
        <v>0.75</v>
      </c>
      <c r="D14" s="75" t="n">
        <v>0.6</v>
      </c>
      <c r="E14" s="75" t="n">
        <v>0.9</v>
      </c>
      <c r="F14" s="59" t="s">
        <v>94</v>
      </c>
      <c r="G14" s="85" t="s">
        <v>2158</v>
      </c>
    </row>
    <row r="15" customFormat="false" ht="64.9" hidden="false" customHeight="false" outlineLevel="0" collapsed="false">
      <c r="A15" s="58" t="s">
        <v>2159</v>
      </c>
      <c r="B15" s="59" t="s">
        <v>279</v>
      </c>
      <c r="C15" s="80" t="n">
        <v>4000</v>
      </c>
      <c r="D15" s="61" t="n">
        <v>2000</v>
      </c>
      <c r="E15" s="61" t="n">
        <v>11000</v>
      </c>
      <c r="F15" s="59" t="s">
        <v>94</v>
      </c>
      <c r="G15" s="85" t="s">
        <v>2160</v>
      </c>
    </row>
    <row r="16" customFormat="false" ht="15" hidden="false" customHeight="false" outlineLevel="0" collapsed="false">
      <c r="A16" s="59" t="s">
        <v>2161</v>
      </c>
      <c r="B16" s="59" t="s">
        <v>93</v>
      </c>
      <c r="C16" s="169" t="n">
        <v>0.6</v>
      </c>
      <c r="D16" s="63" t="n">
        <v>0.4</v>
      </c>
      <c r="E16" s="63" t="n">
        <v>0.8</v>
      </c>
      <c r="F16" s="59" t="s">
        <v>94</v>
      </c>
      <c r="G16" s="91" t="s">
        <v>2162</v>
      </c>
    </row>
    <row r="18" customFormat="false" ht="15" hidden="false" customHeight="false" outlineLevel="0" collapsed="false">
      <c r="A18" s="57" t="s">
        <v>2163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2164</v>
      </c>
    </row>
    <row r="22" customFormat="false" ht="15" hidden="false" customHeight="false" outlineLevel="0" collapsed="false">
      <c r="A22" s="73" t="s">
        <v>2165</v>
      </c>
      <c r="B22" s="67"/>
      <c r="C22" s="67"/>
      <c r="D22" s="67"/>
      <c r="E22" s="67"/>
      <c r="F22" s="67"/>
      <c r="G22" s="67"/>
    </row>
    <row r="23" customFormat="false" ht="29.85" hidden="false" customHeight="false" outlineLevel="0" collapsed="false">
      <c r="A23" s="5" t="s">
        <v>2166</v>
      </c>
      <c r="B23" s="59" t="s">
        <v>97</v>
      </c>
      <c r="C23" s="170" t="n">
        <v>1.3</v>
      </c>
      <c r="D23" s="76" t="n">
        <v>1</v>
      </c>
      <c r="E23" s="76" t="n">
        <v>1.6</v>
      </c>
      <c r="F23" s="59" t="s">
        <v>94</v>
      </c>
      <c r="G23" s="85" t="s">
        <v>2167</v>
      </c>
    </row>
    <row r="24" customFormat="false" ht="26.85" hidden="false" customHeight="false" outlineLevel="0" collapsed="false">
      <c r="A24" s="5" t="s">
        <v>2168</v>
      </c>
      <c r="B24" s="59" t="s">
        <v>97</v>
      </c>
      <c r="C24" s="170" t="n">
        <v>0.35</v>
      </c>
      <c r="D24" s="76" t="n">
        <v>0.3</v>
      </c>
      <c r="E24" s="76" t="n">
        <v>0.4</v>
      </c>
      <c r="F24" s="59" t="s">
        <v>94</v>
      </c>
      <c r="G24" s="85" t="s">
        <v>2169</v>
      </c>
    </row>
    <row r="25" customFormat="false" ht="29.85" hidden="false" customHeight="false" outlineLevel="0" collapsed="false">
      <c r="A25" s="5" t="s">
        <v>2170</v>
      </c>
      <c r="B25" s="59" t="s">
        <v>279</v>
      </c>
      <c r="C25" s="61" t="n">
        <v>2000</v>
      </c>
      <c r="D25" s="59" t="s">
        <v>608</v>
      </c>
      <c r="E25" s="59" t="s">
        <v>608</v>
      </c>
      <c r="F25" s="59" t="s">
        <v>2171</v>
      </c>
      <c r="G25" s="85" t="s">
        <v>2172</v>
      </c>
    </row>
    <row r="26" customFormat="false" ht="77.6" hidden="false" customHeight="false" outlineLevel="0" collapsed="false">
      <c r="A26" s="5" t="s">
        <v>2173</v>
      </c>
      <c r="B26" s="59" t="s">
        <v>97</v>
      </c>
      <c r="C26" s="170" t="n">
        <v>1</v>
      </c>
      <c r="D26" s="76" t="n">
        <v>0.65</v>
      </c>
      <c r="E26" s="76" t="n">
        <v>1.2</v>
      </c>
      <c r="F26" s="59" t="s">
        <v>141</v>
      </c>
      <c r="G26" s="85" t="s">
        <v>2174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5" t="s">
        <v>2175</v>
      </c>
    </row>
    <row r="2" customFormat="false" ht="15" hidden="false" customHeight="false" outlineLevel="0" collapsed="false">
      <c r="A2" s="71" t="s">
        <v>2176</v>
      </c>
    </row>
    <row r="4" customFormat="false" ht="15" hidden="false" customHeight="false" outlineLevel="0" collapsed="false">
      <c r="A4" s="73" t="s">
        <v>2177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2178</v>
      </c>
      <c r="B5" s="59" t="s">
        <v>787</v>
      </c>
      <c r="C5" s="65" t="n">
        <f aca="false">SRC_DEM_010*1000000000*525600*AL_APIratio/1000000</f>
        <v>2365200000</v>
      </c>
      <c r="G5" s="56" t="s">
        <v>2179</v>
      </c>
    </row>
    <row r="6" customFormat="false" ht="15" hidden="false" customHeight="false" outlineLevel="0" collapsed="false">
      <c r="A6" s="6" t="s">
        <v>2180</v>
      </c>
      <c r="B6" s="59" t="s">
        <v>787</v>
      </c>
      <c r="C6" s="65" t="n">
        <f aca="false">SRC_DEM_012*1000000000*AL_TokPerPrompt*365/1000000</f>
        <v>3650000000</v>
      </c>
      <c r="G6" s="56" t="s">
        <v>2181</v>
      </c>
    </row>
    <row r="7" customFormat="false" ht="15" hidden="false" customHeight="false" outlineLevel="0" collapsed="false">
      <c r="A7" s="6" t="s">
        <v>2182</v>
      </c>
      <c r="B7" s="59" t="s">
        <v>787</v>
      </c>
      <c r="C7" s="65" t="n">
        <f aca="false">AL_DChat*AL_FreeShare</f>
        <v>2190000000</v>
      </c>
      <c r="G7" s="56" t="s">
        <v>2183</v>
      </c>
    </row>
    <row r="8" customFormat="false" ht="15" hidden="false" customHeight="false" outlineLevel="0" collapsed="false">
      <c r="A8" s="6" t="s">
        <v>2184</v>
      </c>
      <c r="B8" s="59" t="s">
        <v>787</v>
      </c>
      <c r="C8" s="65" t="n">
        <f aca="false">AL_DChat-AL_DChatFree</f>
        <v>1460000000</v>
      </c>
      <c r="G8" s="56" t="s">
        <v>2185</v>
      </c>
    </row>
    <row r="9" customFormat="false" ht="15" hidden="false" customHeight="false" outlineLevel="0" collapsed="false">
      <c r="A9" s="5" t="s">
        <v>2186</v>
      </c>
      <c r="B9" s="59" t="s">
        <v>787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2187</v>
      </c>
      <c r="B10" s="59" t="s">
        <v>787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2188</v>
      </c>
      <c r="B11" s="59" t="s">
        <v>787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2189</v>
      </c>
      <c r="B12" s="59" t="s">
        <v>1296</v>
      </c>
      <c r="C12" s="69" t="n">
        <f aca="false">AL_D/365/1000000</f>
        <v>16.48</v>
      </c>
      <c r="G12" s="56" t="s">
        <v>2190</v>
      </c>
    </row>
    <row r="14" customFormat="false" ht="15" hidden="false" customHeight="false" outlineLevel="0" collapsed="false">
      <c r="A14" s="73" t="s">
        <v>2191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57" t="s">
        <v>165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2192</v>
      </c>
      <c r="B16" s="58" t="s">
        <v>933</v>
      </c>
      <c r="C16" s="109" t="n">
        <v>1</v>
      </c>
      <c r="D16" s="109" t="n">
        <v>2</v>
      </c>
      <c r="E16" s="109" t="n">
        <v>3</v>
      </c>
      <c r="F16" s="109" t="n">
        <v>4</v>
      </c>
    </row>
    <row r="17" customFormat="false" ht="15" hidden="false" customHeight="false" outlineLevel="0" collapsed="false">
      <c r="A17" s="6" t="s">
        <v>2193</v>
      </c>
      <c r="B17" s="58" t="s">
        <v>933</v>
      </c>
      <c r="C17" s="109" t="n">
        <f aca="false">3*(C16-1)+2</f>
        <v>2</v>
      </c>
      <c r="D17" s="109" t="n">
        <f aca="false">3*(D16-1)+2</f>
        <v>5</v>
      </c>
      <c r="E17" s="109" t="n">
        <f aca="false">3*(E16-1)+2</f>
        <v>8</v>
      </c>
      <c r="F17" s="109" t="n">
        <f aca="false">3*(F16-1)+2</f>
        <v>11</v>
      </c>
    </row>
    <row r="18" customFormat="false" ht="15" hidden="false" customHeight="false" outlineLevel="0" collapsed="false">
      <c r="A18" s="5" t="s">
        <v>2194</v>
      </c>
      <c r="B18" s="59" t="s">
        <v>93</v>
      </c>
      <c r="C18" s="83" t="n">
        <f aca="false">AL_MixHopper</f>
        <v>0.6</v>
      </c>
      <c r="D18" s="83" t="n">
        <f aca="false">AL_MixGB200</f>
        <v>0.4</v>
      </c>
      <c r="E18" s="83" t="n">
        <f aca="false">AL_MixGB300</f>
        <v>0</v>
      </c>
      <c r="F18" s="83" t="n">
        <f aca="false">AL_MixVR200</f>
        <v>0</v>
      </c>
    </row>
    <row r="19" customFormat="false" ht="29.85" hidden="false" customHeight="false" outlineLevel="0" collapsed="false">
      <c r="A19" s="5" t="s">
        <v>2195</v>
      </c>
      <c r="B19" s="58" t="s">
        <v>1732</v>
      </c>
      <c r="C19" s="109" t="n">
        <f aca="false">IF(AND(AND(OR(INDEX(B4_MixPaid,1,1)=0,IF(ISNUMBER(INDEX(IF_TokGW_Luna,1,C$17)),INDEX(IF_TokGW_Luna,1,C$17)&gt;0,FALSE())),OR(INDEX(B4_MixPaid,1,2)=0,IF(ISNUMBER(INDEX(IF_TokGW_Sol,1,C$17)),INDEX(IF_TokGW_Sol,1,C$17)&gt;0,FALSE())),OR(INDEX(B4_MixPaid,1,3)=0,IF(ISNUMBER(INDEX(IF_TokGW_Astra,1,C$17)),INDEX(IF_TokGW_Astra,1,C$17)&gt;0,FALSE()))),AND(OR(INDEX(B4_MixFree,1,1)=0,IF(ISNUMBER(INDEX(IF_TokGW_Luna,1,C$17)),INDEX(IF_TokGW_Luna,1,C$17)&gt;0,FALSE())),OR(INDEX(B4_MixFree,1,2)=0,IF(ISNUMBER(INDEX(IF_TokGW_Sol,1,C$17)),INDEX(IF_TokGW_Sol,1,C$17)&gt;0,FALSE())),OR(INDEX(B4_MixFree,1,3)=0,IF(ISNUMBER(INDEX(IF_TokGW_Astra,1,C$17)),INDEX(IF_TokGW_Astra,1,C$17)&gt;0,FALSE())))),1,0)</f>
        <v>1</v>
      </c>
      <c r="D19" s="109" t="n">
        <f aca="false">IF(AND(AND(OR(INDEX(B4_MixPaid,1,1)=0,IF(ISNUMBER(INDEX(IF_TokGW_Luna,1,D$17)),INDEX(IF_TokGW_Luna,1,D$17)&gt;0,FALSE())),OR(INDEX(B4_MixPaid,1,2)=0,IF(ISNUMBER(INDEX(IF_TokGW_Sol,1,D$17)),INDEX(IF_TokGW_Sol,1,D$17)&gt;0,FALSE())),OR(INDEX(B4_MixPaid,1,3)=0,IF(ISNUMBER(INDEX(IF_TokGW_Astra,1,D$17)),INDEX(IF_TokGW_Astra,1,D$17)&gt;0,FALSE()))),AND(OR(INDEX(B4_MixFree,1,1)=0,IF(ISNUMBER(INDEX(IF_TokGW_Luna,1,D$17)),INDEX(IF_TokGW_Luna,1,D$17)&gt;0,FALSE())),OR(INDEX(B4_MixFree,1,2)=0,IF(ISNUMBER(INDEX(IF_TokGW_Sol,1,D$17)),INDEX(IF_TokGW_Sol,1,D$17)&gt;0,FALSE())),OR(INDEX(B4_MixFree,1,3)=0,IF(ISNUMBER(INDEX(IF_TokGW_Astra,1,D$17)),INDEX(IF_TokGW_Astra,1,D$17)&gt;0,FALSE())))),1,0)</f>
        <v>1</v>
      </c>
      <c r="E19" s="109" t="n">
        <f aca="false">IF(AND(AND(OR(INDEX(B4_MixPaid,1,1)=0,IF(ISNUMBER(INDEX(IF_TokGW_Luna,1,E$17)),INDEX(IF_TokGW_Luna,1,E$17)&gt;0,FALSE())),OR(INDEX(B4_MixPaid,1,2)=0,IF(ISNUMBER(INDEX(IF_TokGW_Sol,1,E$17)),INDEX(IF_TokGW_Sol,1,E$17)&gt;0,FALSE())),OR(INDEX(B4_MixPaid,1,3)=0,IF(ISNUMBER(INDEX(IF_TokGW_Astra,1,E$17)),INDEX(IF_TokGW_Astra,1,E$17)&gt;0,FALSE()))),AND(OR(INDEX(B4_MixFree,1,1)=0,IF(ISNUMBER(INDEX(IF_TokGW_Luna,1,E$17)),INDEX(IF_TokGW_Luna,1,E$17)&gt;0,FALSE())),OR(INDEX(B4_MixFree,1,2)=0,IF(ISNUMBER(INDEX(IF_TokGW_Sol,1,E$17)),INDEX(IF_TokGW_Sol,1,E$17)&gt;0,FALSE())),OR(INDEX(B4_MixFree,1,3)=0,IF(ISNUMBER(INDEX(IF_TokGW_Astra,1,E$17)),INDEX(IF_TokGW_Astra,1,E$17)&gt;0,FALSE())))),1,0)</f>
        <v>1</v>
      </c>
      <c r="F19" s="109" t="n">
        <f aca="false">IF(AND(AND(OR(INDEX(B4_MixPaid,1,1)=0,IF(ISNUMBER(INDEX(IF_TokGW_Luna,1,F$17)),INDEX(IF_TokGW_Luna,1,F$17)&gt;0,FALSE())),OR(INDEX(B4_MixPaid,1,2)=0,IF(ISNUMBER(INDEX(IF_TokGW_Sol,1,F$17)),INDEX(IF_TokGW_Sol,1,F$17)&gt;0,FALSE())),OR(INDEX(B4_MixPaid,1,3)=0,IF(ISNUMBER(INDEX(IF_TokGW_Astra,1,F$17)),INDEX(IF_TokGW_Astra,1,F$17)&gt;0,FALSE()))),AND(OR(INDEX(B4_MixFree,1,1)=0,IF(ISNUMBER(INDEX(IF_TokGW_Luna,1,F$17)),INDEX(IF_TokGW_Luna,1,F$17)&gt;0,FALSE())),OR(INDEX(B4_MixFree,1,2)=0,IF(ISNUMBER(INDEX(IF_TokGW_Sol,1,F$17)),INDEX(IF_TokGW_Sol,1,F$17)&gt;0,FALSE())),OR(INDEX(B4_MixFree,1,3)=0,IF(ISNUMBER(INDEX(IF_TokGW_Astra,1,F$17)),INDEX(IF_TokGW_Astra,1,F$17)&gt;0,FALSE())))),1,0)</f>
        <v>1</v>
      </c>
    </row>
    <row r="20" customFormat="false" ht="15" hidden="false" customHeight="false" outlineLevel="0" collapsed="false">
      <c r="A20" s="6" t="s">
        <v>2196</v>
      </c>
      <c r="B20" s="59" t="s">
        <v>2197</v>
      </c>
      <c r="C20" s="142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2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2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2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2198</v>
      </c>
    </row>
    <row r="21" customFormat="false" ht="15" hidden="false" customHeight="false" outlineLevel="0" collapsed="false">
      <c r="A21" s="6" t="s">
        <v>2199</v>
      </c>
      <c r="B21" s="59" t="s">
        <v>2197</v>
      </c>
      <c r="C21" s="142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2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2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2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2200</v>
      </c>
      <c r="B22" s="59" t="s">
        <v>1346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2201</v>
      </c>
    </row>
    <row r="23" customFormat="false" ht="15" hidden="false" customHeight="false" outlineLevel="0" collapsed="false">
      <c r="A23" s="5" t="s">
        <v>2202</v>
      </c>
      <c r="B23" s="59" t="s">
        <v>1346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2203</v>
      </c>
    </row>
    <row r="24" customFormat="false" ht="15" hidden="false" customHeight="false" outlineLevel="0" collapsed="false">
      <c r="A24" s="5" t="s">
        <v>2204</v>
      </c>
      <c r="B24" s="59" t="s">
        <v>1346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24125625824.4492</v>
      </c>
    </row>
    <row r="25" customFormat="false" ht="15" hidden="false" customHeight="false" outlineLevel="0" collapsed="false">
      <c r="A25" s="5" t="s">
        <v>2205</v>
      </c>
      <c r="B25" s="59" t="s">
        <v>1346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91100077130.4794</v>
      </c>
    </row>
    <row r="26" customFormat="false" ht="15" hidden="false" customHeight="false" outlineLevel="0" collapsed="false">
      <c r="A26" s="5" t="s">
        <v>2206</v>
      </c>
      <c r="B26" s="59" t="s">
        <v>85</v>
      </c>
      <c r="C26" s="70" t="n">
        <f aca="false">IF(AND(ISNUMBER(AL_BlendPaid),AL_DPaid&gt;=0),IF(AL_BlendPaid&gt;0,AL_DPaid/AL_BlendPaid,"SLO 不可達"),"SLO 不可達")</f>
        <v>0.15855339993392</v>
      </c>
    </row>
    <row r="27" customFormat="false" ht="15" hidden="false" customHeight="false" outlineLevel="0" collapsed="false">
      <c r="A27" s="5" t="s">
        <v>2207</v>
      </c>
      <c r="B27" s="59" t="s">
        <v>85</v>
      </c>
      <c r="C27" s="70" t="n">
        <f aca="false">IF(AND(ISNUMBER(AL_BlendFree),AL_DFree&gt;=0),IF(AL_BlendFree&gt;0,AL_DFree/AL_BlendFree,"SLO 不可達"),"SLO 不可達")</f>
        <v>0.0240394966610549</v>
      </c>
    </row>
    <row r="28" customFormat="false" ht="15" hidden="false" customHeight="false" outlineLevel="0" collapsed="false">
      <c r="A28" s="5" t="s">
        <v>2208</v>
      </c>
      <c r="B28" s="59" t="s">
        <v>85</v>
      </c>
      <c r="C28" s="171" t="n">
        <f aca="false">IF(AND(ISNUMBER(AL_ServeGWPaid),ISNUMBER(AL_ServeGWFree)),AL_ServeGWPaid+AL_ServeGWFree,"SLO 不可達")</f>
        <v>0.182592896594975</v>
      </c>
    </row>
    <row r="29" customFormat="false" ht="15" hidden="false" customHeight="false" outlineLevel="0" collapsed="false">
      <c r="A29" s="5" t="s">
        <v>2209</v>
      </c>
      <c r="B29" s="59" t="s">
        <v>85</v>
      </c>
      <c r="C29" s="70" t="n">
        <f aca="false">IF(ISNUMBER(AL_ServeGW),AL_ServeGW*C18,"SLO 不可達")</f>
        <v>0.109555737956985</v>
      </c>
      <c r="D29" s="70" t="n">
        <f aca="false">IF(ISNUMBER(AL_ServeGW),AL_ServeGW*D18,"SLO 不可達")</f>
        <v>0.0730371586379899</v>
      </c>
      <c r="E29" s="70" t="n">
        <f aca="false">IF(ISNUMBER(AL_ServeGW),AL_ServeGW*E18,"SLO 不可達")</f>
        <v>0</v>
      </c>
      <c r="F29" s="70" t="n">
        <f aca="false">IF(ISNUMBER(AL_ServeGW),AL_ServeGW*F18,"SLO 不可達")</f>
        <v>0</v>
      </c>
    </row>
    <row r="30" customFormat="false" ht="15" hidden="false" customHeight="false" outlineLevel="0" collapsed="false">
      <c r="A30" s="5" t="s">
        <v>2210</v>
      </c>
      <c r="B30" s="59" t="s">
        <v>1547</v>
      </c>
      <c r="C30" s="112" t="n">
        <f aca="false">INDEX(IF_HoldEcon,1,C17)</f>
        <v>9.70308728611469</v>
      </c>
      <c r="D30" s="112" t="n">
        <f aca="false">INDEX(IF_HoldEcon,1,D17)</f>
        <v>8.82816556596761</v>
      </c>
      <c r="E30" s="112" t="n">
        <f aca="false">INDEX(IF_HoldEcon,1,E17)</f>
        <v>10.8864110021101</v>
      </c>
      <c r="F30" s="112" t="n">
        <f aca="false">INDEX(IF_HoldEcon,1,F17)</f>
        <v>12.2254710045841</v>
      </c>
    </row>
    <row r="32" customFormat="false" ht="15" hidden="false" customHeight="false" outlineLevel="0" collapsed="false">
      <c r="A32" s="73" t="s">
        <v>2211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2212</v>
      </c>
      <c r="B33" s="58" t="s">
        <v>933</v>
      </c>
      <c r="C33" s="109" t="n">
        <f aca="false">IF_TrainGenDefault</f>
        <v>4</v>
      </c>
    </row>
    <row r="34" customFormat="false" ht="15" hidden="false" customHeight="false" outlineLevel="0" collapsed="false">
      <c r="A34" s="6" t="s">
        <v>2213</v>
      </c>
      <c r="B34" s="58" t="s">
        <v>933</v>
      </c>
      <c r="C34" s="109" t="n">
        <f aca="false">3*(AL_TrainGen-1)+2</f>
        <v>11</v>
      </c>
    </row>
    <row r="35" customFormat="false" ht="15" hidden="false" customHeight="false" outlineLevel="0" collapsed="false">
      <c r="A35" s="57" t="s">
        <v>710</v>
      </c>
      <c r="C35" s="10" t="s">
        <v>249</v>
      </c>
      <c r="D35" s="10" t="s">
        <v>250</v>
      </c>
      <c r="E35" s="10" t="s">
        <v>251</v>
      </c>
      <c r="F35" s="57" t="s">
        <v>2214</v>
      </c>
    </row>
    <row r="36" customFormat="false" ht="15" hidden="false" customHeight="false" outlineLevel="0" collapsed="false">
      <c r="A36" s="5" t="s">
        <v>711</v>
      </c>
      <c r="B36" s="58" t="s">
        <v>933</v>
      </c>
      <c r="C36" s="109" t="n">
        <v>1</v>
      </c>
      <c r="D36" s="109" t="n">
        <v>2</v>
      </c>
      <c r="E36" s="109" t="n">
        <v>3</v>
      </c>
    </row>
    <row r="37" customFormat="false" ht="29.85" hidden="false" customHeight="false" outlineLevel="0" collapsed="false">
      <c r="A37" s="5" t="s">
        <v>2215</v>
      </c>
      <c r="B37" s="59" t="s">
        <v>2216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IF(COUNT(C37:E37)=3,SUM(C37:E37),"SLO 不可達")</f>
        <v>0.0486433041379322</v>
      </c>
      <c r="G37" s="71" t="s">
        <v>2217</v>
      </c>
    </row>
    <row r="38" customFormat="false" ht="15" hidden="false" customHeight="false" outlineLevel="0" collapsed="false">
      <c r="A38" s="5" t="s">
        <v>2218</v>
      </c>
      <c r="B38" s="59" t="s">
        <v>1010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IF(COUNT(C38:E38)=3,SUM(C38:E38),"SLO 不可達")</f>
        <v>6715266.00380034</v>
      </c>
      <c r="G38" s="56" t="s">
        <v>2219</v>
      </c>
    </row>
    <row r="39" customFormat="false" ht="15" hidden="false" customHeight="false" outlineLevel="0" collapsed="false">
      <c r="A39" s="5" t="s">
        <v>2220</v>
      </c>
      <c r="B39" s="58" t="s">
        <v>723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2221</v>
      </c>
      <c r="B40" s="59" t="s">
        <v>2216</v>
      </c>
      <c r="C40" s="70" t="n">
        <f aca="false">IF(ISNUMBER(C38),C38*IF_RDMult/(C39*8760),C38)</f>
        <v>0.000366925610202704</v>
      </c>
      <c r="D40" s="70" t="n">
        <f aca="false">IF(ISNUMBER(D38),D38*IF_RDMult/(D39*8760),D38)</f>
        <v>0.00128885318421053</v>
      </c>
      <c r="E40" s="70" t="n">
        <f aca="false">IF(ISNUMBER(E38),E38*IF_RDMult/(E39*8760),E38)</f>
        <v>0.0193649209189288</v>
      </c>
      <c r="F40" s="70" t="n">
        <f aca="false">IF(COUNT(C40:E40)=3,SUM(C40:E40),"SLO 不可達")</f>
        <v>0.0210206997133421</v>
      </c>
      <c r="G40" s="71" t="s">
        <v>2222</v>
      </c>
    </row>
    <row r="41" customFormat="false" ht="15" hidden="false" customHeight="false" outlineLevel="0" collapsed="false">
      <c r="A41" s="5" t="s">
        <v>2223</v>
      </c>
      <c r="B41" s="59" t="s">
        <v>2216</v>
      </c>
      <c r="C41" s="171" t="n">
        <f aca="false">IF(AND(ISNUMBER(AL_FamGWyr),ISNUMBER(AL_RefGWyr)),AL_k*(AL_Nmajor*AL_FamGWyr+AL_Nrefresh*AL_RefGWyr),"SLO 不可達")</f>
        <v>0.0906847035646163</v>
      </c>
    </row>
    <row r="42" customFormat="false" ht="15" hidden="false" customHeight="false" outlineLevel="0" collapsed="false">
      <c r="A42" s="5" t="s">
        <v>2224</v>
      </c>
      <c r="B42" s="59" t="s">
        <v>2216</v>
      </c>
      <c r="C42" s="70" t="n">
        <f aca="false">IF(ISNUMBER(AL_RDGW),AL_RDGW*(1+AL_g),"SLO 不可達")</f>
        <v>0.0906847035646163</v>
      </c>
    </row>
    <row r="43" customFormat="false" ht="15" hidden="false" customHeight="false" outlineLevel="0" collapsed="false">
      <c r="A43" s="5" t="s">
        <v>2225</v>
      </c>
      <c r="B43" s="59" t="s">
        <v>1547</v>
      </c>
      <c r="C43" s="112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2226</v>
      </c>
      <c r="B44" s="59" t="s">
        <v>1796</v>
      </c>
      <c r="C44" s="112" t="n">
        <f aca="false">IF(ISNUMBER(AL_RDGW),AL_RDGW*AL_HoldTrain,"SLO 不可達")</f>
        <v>1.10866321398852</v>
      </c>
    </row>
    <row r="46" customFormat="false" ht="15" hidden="false" customHeight="false" outlineLevel="0" collapsed="false">
      <c r="A46" s="73" t="s">
        <v>2227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2228</v>
      </c>
      <c r="B47" s="59" t="s">
        <v>93</v>
      </c>
      <c r="C47" s="99" t="n">
        <f aca="false">IF(AND(ISNUMBER(AL_ServeGW),ISNUMBER(AL_RDGW)),AL_RDGW/(AL_RDGW+AL_ServeGW),"SLO 不可達")</f>
        <v>0.331840968713343</v>
      </c>
    </row>
    <row r="48" customFormat="false" ht="26.85" hidden="false" customHeight="false" outlineLevel="0" collapsed="false">
      <c r="A48" s="6" t="s">
        <v>2229</v>
      </c>
      <c r="B48" s="59" t="s">
        <v>93</v>
      </c>
      <c r="C48" s="101" t="n">
        <f aca="false">IF(AND(ISNUMBER(AL_ServeGW),ISNUMBER(AL_RDGW)),(AL_RDGW+AL_ServeGWFree)/(AL_RDGW+AL_ServeGW),"SLO 不可達")</f>
        <v>0.419808283440258</v>
      </c>
    </row>
    <row r="49" customFormat="false" ht="29.85" hidden="false" customHeight="false" outlineLevel="0" collapsed="false">
      <c r="A49" s="6" t="s">
        <v>2230</v>
      </c>
      <c r="B49" s="59" t="s">
        <v>93</v>
      </c>
      <c r="C49" s="99" t="n">
        <f aca="false">IF(AND(ISNUMBER(AL_ServeGW),ISNUMBER(AL_RDGW)),AL_RDGW*AL_HoldTrain/(AL_RDGW*AL_HoldTrain+SUMPRODUCT(AL_ServeGen,AL_HoldGen)),"SLO 不可達")</f>
        <v>0.393634855421224</v>
      </c>
      <c r="G49" s="71" t="s">
        <v>2231</v>
      </c>
    </row>
    <row r="50" customFormat="false" ht="15" hidden="false" customHeight="false" outlineLevel="0" collapsed="false">
      <c r="A50" s="6" t="s">
        <v>2232</v>
      </c>
      <c r="B50" s="59" t="s">
        <v>93</v>
      </c>
      <c r="C50" s="101" t="n">
        <f aca="false">IF(AND(ISNUMBER(AL_ServeGW),ISNUMBER(AL_RDGWg)),AL_RDGWg/(AL_RDGWg+AL_ServeGW),"SLO 不可達")</f>
        <v>0.331840968713343</v>
      </c>
    </row>
    <row r="51" customFormat="false" ht="15" hidden="false" customHeight="false" outlineLevel="0" collapsed="false">
      <c r="A51" s="6" t="s">
        <v>2233</v>
      </c>
      <c r="B51" s="59" t="s">
        <v>93</v>
      </c>
      <c r="C51" s="101" t="n">
        <f aca="false">IF(AND(ISNUMBER(AL_ServeGW),ISNUMBER(AL_RDGWg)),AL_RDGWg*AL_HoldTrain/(AL_RDGWg*AL_HoldTrain+SUMPRODUCT(AL_ServeGen,AL_HoldGen)),"SLO 不可達")</f>
        <v>0.393634855421224</v>
      </c>
    </row>
    <row r="52" customFormat="false" ht="15" hidden="false" customHeight="false" outlineLevel="0" collapsed="false">
      <c r="A52" s="6" t="s">
        <v>2234</v>
      </c>
      <c r="B52" s="58"/>
      <c r="C52" s="58" t="s">
        <v>2235</v>
      </c>
      <c r="G52" s="56" t="s">
        <v>2236</v>
      </c>
    </row>
    <row r="54" customFormat="false" ht="15" hidden="false" customHeight="false" outlineLevel="0" collapsed="false">
      <c r="A54" s="73" t="s">
        <v>2237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2238</v>
      </c>
      <c r="B55" s="59" t="s">
        <v>93</v>
      </c>
      <c r="C55" s="101" t="n">
        <f aca="false">SRC_DEM_006/(SRC_DEM_004+SRC_DEM_006)</f>
        <v>0.588235294117647</v>
      </c>
      <c r="G55" s="56" t="s">
        <v>2239</v>
      </c>
    </row>
    <row r="56" customFormat="false" ht="15" hidden="false" customHeight="false" outlineLevel="0" collapsed="false">
      <c r="A56" s="5" t="s">
        <v>2240</v>
      </c>
      <c r="B56" s="59" t="s">
        <v>85</v>
      </c>
      <c r="C56" s="70" t="n">
        <f aca="false">IF(ISNUMBER(AL_ServeGW),AL_SpendRatio/(1-AL_SpendRatio)*AL_ServeGW,"SLO 不可達")</f>
        <v>0.260846995135678</v>
      </c>
    </row>
    <row r="57" customFormat="false" ht="15" hidden="false" customHeight="false" outlineLevel="0" collapsed="false">
      <c r="A57" s="5" t="s">
        <v>2241</v>
      </c>
      <c r="B57" s="58" t="s">
        <v>316</v>
      </c>
      <c r="C57" s="102" t="n">
        <f aca="false">IF(AND(ISNUMBER(AL_ImpliedRDGW),ISNUMBER(AL_FamGWyr)),AL_ImpliedRDGW/AL_FamGWyr,"SLO 不可達")</f>
        <v>5.36244401482318</v>
      </c>
    </row>
    <row r="58" customFormat="false" ht="15" hidden="false" customHeight="false" outlineLevel="0" collapsed="false">
      <c r="A58" s="6" t="s">
        <v>2242</v>
      </c>
      <c r="B58" s="59" t="s">
        <v>97</v>
      </c>
      <c r="C58" s="74" t="n">
        <f aca="false">IF(AND(ISNUMBER(AL_ImpliedNk),ISNUMBER(AL_RefGWyr),ISNUMBER(AL_FamGWyr)),AL_ImpliedNk/(AL_Nmajor+AL_Nrefresh*AL_RefGWyr/AL_FamGWyr),"SLO 不可達")</f>
        <v>2.87641669302932</v>
      </c>
      <c r="G58" s="71" t="s">
        <v>2243</v>
      </c>
    </row>
    <row r="60" customFormat="false" ht="15" hidden="false" customHeight="false" outlineLevel="0" collapsed="false">
      <c r="A60" s="73" t="s">
        <v>2244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2245</v>
      </c>
      <c r="B61" s="59" t="s">
        <v>85</v>
      </c>
      <c r="C61" s="70" t="n">
        <f aca="false">SRC_DEM_004/SUMPRODUCT(AL_ShareGen,AL_HoldGen)</f>
        <v>0.89809617101894</v>
      </c>
      <c r="G61" s="71" t="s">
        <v>2246</v>
      </c>
    </row>
    <row r="62" customFormat="false" ht="29.85" hidden="false" customHeight="false" outlineLevel="0" collapsed="false">
      <c r="A62" s="5" t="s">
        <v>2247</v>
      </c>
      <c r="B62" s="59" t="s">
        <v>85</v>
      </c>
      <c r="C62" s="70" t="n">
        <f aca="false">SRC_DEM_018/SUMPRODUCT(AL_ShareGen,AL_HoldGen)</f>
        <v>1.34714425652841</v>
      </c>
      <c r="G62" s="71" t="s">
        <v>2248</v>
      </c>
    </row>
    <row r="63" customFormat="false" ht="15" hidden="false" customHeight="false" outlineLevel="0" collapsed="false">
      <c r="A63" s="5" t="s">
        <v>2249</v>
      </c>
      <c r="B63" s="59" t="s">
        <v>93</v>
      </c>
      <c r="C63" s="101" t="n">
        <f aca="false">IF(ISNUMBER(AL_ServeGW),AL_ServeGWFree/AL_ServeGW,"SLO 不可達")</f>
        <v>0.131656253388537</v>
      </c>
    </row>
    <row r="64" customFormat="false" ht="15" hidden="false" customHeight="false" outlineLevel="0" collapsed="false">
      <c r="A64" s="5" t="s">
        <v>2250</v>
      </c>
      <c r="B64" s="59" t="s">
        <v>93</v>
      </c>
      <c r="C64" s="101" t="n">
        <f aca="false">SRC_DEM_005/SRC_DEM_004</f>
        <v>0.464285714285714</v>
      </c>
    </row>
    <row r="65" customFormat="false" ht="15" hidden="false" customHeight="false" outlineLevel="0" collapsed="false">
      <c r="A65" s="6" t="s">
        <v>2251</v>
      </c>
      <c r="B65" s="59" t="s">
        <v>1296</v>
      </c>
      <c r="C65" s="72" t="n">
        <f aca="false">SRC_DEM_013_Lo</f>
        <v>10</v>
      </c>
    </row>
    <row r="66" customFormat="false" ht="15" hidden="false" customHeight="false" outlineLevel="0" collapsed="false">
      <c r="A66" s="6" t="s">
        <v>2252</v>
      </c>
      <c r="B66" s="59" t="s">
        <v>1296</v>
      </c>
      <c r="C66" s="72" t="n">
        <f aca="false">SRC_DEM_013_Hi</f>
        <v>100</v>
      </c>
    </row>
    <row r="67" customFormat="false" ht="15" hidden="false" customHeight="false" outlineLevel="0" collapsed="false">
      <c r="A67" s="5" t="s">
        <v>2253</v>
      </c>
      <c r="B67" s="58"/>
      <c r="C67" s="58" t="str">
        <f aca="false">IF(AL_DDaily&lt;SRC_DEM_013_Lo,"區間外（低於）",IF(AL_DDaily&gt;SRC_DEM_013_Hi,"區間外（高於）","區間內"))</f>
        <v>區間內</v>
      </c>
    </row>
    <row r="69" customFormat="false" ht="15" hidden="false" customHeight="false" outlineLevel="0" collapsed="false">
      <c r="A69" s="73" t="s">
        <v>2254</v>
      </c>
      <c r="B69" s="67"/>
      <c r="C69" s="67"/>
      <c r="D69" s="67"/>
      <c r="E69" s="67"/>
      <c r="F69" s="67"/>
      <c r="G69" s="67"/>
    </row>
    <row r="70" customFormat="false" ht="15" hidden="false" customHeight="false" outlineLevel="0" collapsed="false">
      <c r="A70" s="71" t="s">
        <v>2255</v>
      </c>
    </row>
    <row r="71" customFormat="false" ht="26.85" hidden="false" customHeight="false" outlineLevel="0" collapsed="false">
      <c r="A71" s="57" t="s">
        <v>817</v>
      </c>
      <c r="B71" s="57" t="s">
        <v>2256</v>
      </c>
      <c r="C71" s="82" t="s">
        <v>2257</v>
      </c>
      <c r="D71" s="82" t="s">
        <v>2258</v>
      </c>
      <c r="E71" s="82" t="s">
        <v>2259</v>
      </c>
      <c r="F71" s="82" t="s">
        <v>2260</v>
      </c>
      <c r="G71" s="81" t="s">
        <v>2261</v>
      </c>
      <c r="H71" s="81" t="s">
        <v>2262</v>
      </c>
      <c r="I71" s="82" t="s">
        <v>2263</v>
      </c>
      <c r="J71" s="82" t="s">
        <v>2264</v>
      </c>
      <c r="K71" s="82" t="s">
        <v>2265</v>
      </c>
      <c r="L71" s="82" t="s">
        <v>2266</v>
      </c>
      <c r="M71" s="81" t="s">
        <v>2267</v>
      </c>
      <c r="N71" s="81" t="s">
        <v>2268</v>
      </c>
      <c r="O71" s="81" t="s">
        <v>2269</v>
      </c>
      <c r="P71" s="81" t="s">
        <v>2270</v>
      </c>
      <c r="Q71" s="81" t="s">
        <v>2271</v>
      </c>
      <c r="R71" s="81" t="s">
        <v>2272</v>
      </c>
      <c r="S71" s="82" t="s">
        <v>2273</v>
      </c>
      <c r="T71" s="82" t="s">
        <v>2274</v>
      </c>
      <c r="U71" s="81" t="s">
        <v>2275</v>
      </c>
      <c r="V71" s="81" t="s">
        <v>2276</v>
      </c>
      <c r="W71" s="81" t="s">
        <v>2277</v>
      </c>
    </row>
    <row r="72" customFormat="false" ht="15" hidden="false" customHeight="false" outlineLevel="0" collapsed="false">
      <c r="A72" s="58" t="s">
        <v>79</v>
      </c>
      <c r="B72" s="59" t="s">
        <v>608</v>
      </c>
      <c r="C72" s="84" t="n">
        <f aca="false">AL_Nmajor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0.6</v>
      </c>
      <c r="J72" s="83" t="n">
        <f aca="false">AL_MixGB200</f>
        <v>0.4</v>
      </c>
      <c r="K72" s="83" t="n">
        <f aca="false">AL_MixGB300</f>
        <v>0</v>
      </c>
      <c r="L72" s="83" t="n">
        <f aca="false">AL_MixVR200</f>
        <v>0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24125625824.4492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91100077130.4794</v>
      </c>
      <c r="Q72" s="70" t="n">
        <f aca="false">IF(AND(ISNUMBER(O72),ISNUMBER(P72)),IF(AND(O72&gt;0,P72&gt;0),M72/O72+N72/P72,"SLO 不可達"),"SLO 不可達")</f>
        <v>0.182592896594975</v>
      </c>
      <c r="R72" s="70" t="n">
        <f aca="false">IF(AND(ISNUMBER(AL_FamGWyr),ISNUMBER(AL_RefGWyr)),E72*(C72*AL_FamGWyr+D72*AL_RefGWyr),"SLO 不可達")</f>
        <v>0.0906847035646163</v>
      </c>
      <c r="S72" s="101" t="n">
        <f aca="false">IF(AND(ISNUMBER(Q72),ISNUMBER(R72)),R72/(R72+Q72),"SLO 不可達")</f>
        <v>0.331840968713343</v>
      </c>
      <c r="T72" s="101" t="n">
        <f aca="false">IF(AND(ISNUMBER(Q72),ISNUMBER(R72)),R72*AL_HoldTrain/(R72*AL_HoldTrain+Q72*(I72*$C$30+J72*$D$30+K72*$E$30+L72*$F$30)),"SLO 不可達")</f>
        <v>0.393634855421224</v>
      </c>
      <c r="U72" s="112" t="n">
        <f aca="false">IF(ISNUMBER(R72),R72*AL_HoldTrain,"SLO 不可達")</f>
        <v>1.10866321398852</v>
      </c>
      <c r="V72" s="69" t="n">
        <f aca="false">(M72+N72)/365/1000000</f>
        <v>16.48</v>
      </c>
      <c r="W72" s="109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9" t="s">
        <v>2278</v>
      </c>
      <c r="B73" s="59" t="s">
        <v>2257</v>
      </c>
      <c r="C73" s="86" t="n">
        <f aca="false">AL_Nmajor_Lo</f>
        <v>1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0.6</v>
      </c>
      <c r="J73" s="83" t="n">
        <f aca="false">AL_MixGB200</f>
        <v>0.4</v>
      </c>
      <c r="K73" s="83" t="n">
        <f aca="false">AL_MixGB300</f>
        <v>0</v>
      </c>
      <c r="L73" s="83" t="n">
        <f aca="false">AL_MixVR200</f>
        <v>0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24125625824.4492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91100077130.4794</v>
      </c>
      <c r="Q73" s="70" t="n">
        <f aca="false">IF(AND(ISNUMBER(O73),ISNUMBER(P73)),IF(AND(O73&gt;0,P73&gt;0),M73/O73+N73/P73,"SLO 不可達"),"SLO 不可達")</f>
        <v>0.182592896594975</v>
      </c>
      <c r="R73" s="70" t="n">
        <f aca="false">IF(AND(ISNUMBER(AL_FamGWyr),ISNUMBER(AL_RefGWyr)),E73*(C73*AL_FamGWyr+D73*AL_RefGWyr),"SLO 不可達")</f>
        <v>0.0906847035646163</v>
      </c>
      <c r="S73" s="101" t="n">
        <f aca="false">IF(AND(ISNUMBER(Q73),ISNUMBER(R73)),R73/(R73+Q73),"SLO 不可達")</f>
        <v>0.331840968713343</v>
      </c>
      <c r="T73" s="101" t="n">
        <f aca="false">IF(AND(ISNUMBER(Q73),ISNUMBER(R73)),R73*AL_HoldTrain/(R73*AL_HoldTrain+Q73*(I73*$C$30+J73*$D$30+K73*$E$30+L73*$F$30)),"SLO 不可達")</f>
        <v>0.393634855421224</v>
      </c>
      <c r="U73" s="112" t="n">
        <f aca="false">IF(ISNUMBER(R73),R73*AL_HoldTrain,"SLO 不可達")</f>
        <v>1.10866321398852</v>
      </c>
      <c r="V73" s="69" t="n">
        <f aca="false">(M73+N73)/365/1000000</f>
        <v>16.48</v>
      </c>
      <c r="W73" s="109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9" t="s">
        <v>2279</v>
      </c>
      <c r="B74" s="59" t="s">
        <v>2257</v>
      </c>
      <c r="C74" s="86" t="n">
        <f aca="false">AL_Nmajor_Hi</f>
        <v>2</v>
      </c>
      <c r="D74" s="84" t="n">
        <f aca="false">AL_Nrefresh</f>
        <v>2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0.6</v>
      </c>
      <c r="J74" s="83" t="n">
        <f aca="false">AL_MixGB200</f>
        <v>0.4</v>
      </c>
      <c r="K74" s="83" t="n">
        <f aca="false">AL_MixGB300</f>
        <v>0</v>
      </c>
      <c r="L74" s="83" t="n">
        <f aca="false">AL_MixVR200</f>
        <v>0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24125625824.4492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91100077130.4794</v>
      </c>
      <c r="Q74" s="70" t="n">
        <f aca="false">IF(AND(ISNUMBER(O74),ISNUMBER(P74)),IF(AND(O74&gt;0,P74&gt;0),M74/O74+N74/P74,"SLO 不可達"),"SLO 不可達")</f>
        <v>0.182592896594975</v>
      </c>
      <c r="R74" s="70" t="n">
        <f aca="false">IF(AND(ISNUMBER(AL_FamGWyr),ISNUMBER(AL_RefGWyr)),E74*(C74*AL_FamGWyr+D74*AL_RefGWyr),"SLO 不可達")</f>
        <v>0.139328007702549</v>
      </c>
      <c r="S74" s="101" t="n">
        <f aca="false">IF(AND(ISNUMBER(Q74),ISNUMBER(R74)),R74/(R74+Q74),"SLO 不可達")</f>
        <v>0.432801989068035</v>
      </c>
      <c r="T74" s="101" t="n">
        <f aca="false">IF(AND(ISNUMBER(Q74),ISNUMBER(R74)),R74*AL_HoldTrain/(R74*AL_HoldTrain+Q74*(I74*$C$30+J74*$D$30+K74*$E$30+L74*$F$30)),"SLO 不可達")</f>
        <v>0.499345897862243</v>
      </c>
      <c r="U74" s="112" t="n">
        <f aca="false">IF(ISNUMBER(R74),R74*AL_HoldTrain,"SLO 不可達")</f>
        <v>1.70335051829398</v>
      </c>
      <c r="V74" s="69" t="n">
        <f aca="false">(M74+N74)/365/1000000</f>
        <v>16.48</v>
      </c>
      <c r="W74" s="109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9" t="s">
        <v>2280</v>
      </c>
      <c r="B75" s="59" t="s">
        <v>2258</v>
      </c>
      <c r="C75" s="84" t="n">
        <f aca="false">AL_Nmajor</f>
        <v>1</v>
      </c>
      <c r="D75" s="86" t="n">
        <f aca="false">AL_Nrefresh_Lo</f>
        <v>0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0.6</v>
      </c>
      <c r="J75" s="83" t="n">
        <f aca="false">AL_MixGB200</f>
        <v>0.4</v>
      </c>
      <c r="K75" s="83" t="n">
        <f aca="false">AL_MixGB300</f>
        <v>0</v>
      </c>
      <c r="L75" s="83" t="n">
        <f aca="false">AL_MixVR200</f>
        <v>0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24125625824.4492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91100077130.4794</v>
      </c>
      <c r="Q75" s="70" t="n">
        <f aca="false">IF(AND(ISNUMBER(O75),ISNUMBER(P75)),IF(AND(O75&gt;0,P75&gt;0),M75/O75+N75/P75,"SLO 不可達"),"SLO 不可達")</f>
        <v>0.182592896594975</v>
      </c>
      <c r="R75" s="70" t="n">
        <f aca="false">IF(AND(ISNUMBER(AL_FamGWyr),ISNUMBER(AL_RefGWyr)),E75*(C75*AL_FamGWyr+D75*AL_RefGWyr),"SLO 不可達")</f>
        <v>0.0486433041379322</v>
      </c>
      <c r="S75" s="101" t="n">
        <f aca="false">IF(AND(ISNUMBER(Q75),ISNUMBER(R75)),R75/(R75+Q75),"SLO 不可達")</f>
        <v>0.210361976125522</v>
      </c>
      <c r="T75" s="101" t="n">
        <f aca="false">IF(AND(ISNUMBER(Q75),ISNUMBER(R75)),R75*AL_HoldTrain/(R75*AL_HoldTrain+Q75*(I75*$C$30+J75*$D$30+K75*$E$30+L75*$F$30)),"SLO 不可達")</f>
        <v>0.258278923481027</v>
      </c>
      <c r="U75" s="112" t="n">
        <f aca="false">IF(ISNUMBER(R75),R75*AL_HoldTrain,"SLO 不可達")</f>
        <v>0.594687304305456</v>
      </c>
      <c r="V75" s="69" t="n">
        <f aca="false">(M75+N75)/365/1000000</f>
        <v>16.48</v>
      </c>
      <c r="W75" s="109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9" t="s">
        <v>2281</v>
      </c>
      <c r="B76" s="59" t="s">
        <v>2258</v>
      </c>
      <c r="C76" s="84" t="n">
        <f aca="false">AL_Nmajor</f>
        <v>1</v>
      </c>
      <c r="D76" s="86" t="n">
        <f aca="false">AL_Nrefresh_Hi</f>
        <v>6</v>
      </c>
      <c r="E76" s="84" t="n">
        <f aca="false">AL_k</f>
        <v>1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0.6</v>
      </c>
      <c r="J76" s="83" t="n">
        <f aca="false">AL_MixGB200</f>
        <v>0.4</v>
      </c>
      <c r="K76" s="83" t="n">
        <f aca="false">AL_MixGB300</f>
        <v>0</v>
      </c>
      <c r="L76" s="83" t="n">
        <f aca="false">AL_MixVR200</f>
        <v>0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24125625824.4492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91100077130.4794</v>
      </c>
      <c r="Q76" s="70" t="n">
        <f aca="false">IF(AND(ISNUMBER(O76),ISNUMBER(P76)),IF(AND(O76&gt;0,P76&gt;0),M76/O76+N76/P76,"SLO 不可達"),"SLO 不可達")</f>
        <v>0.182592896594975</v>
      </c>
      <c r="R76" s="70" t="n">
        <f aca="false">IF(AND(ISNUMBER(AL_FamGWyr),ISNUMBER(AL_RefGWyr)),E76*(C76*AL_FamGWyr+D76*AL_RefGWyr),"SLO 不可達")</f>
        <v>0.174767502417984</v>
      </c>
      <c r="S76" s="101" t="n">
        <f aca="false">IF(AND(ISNUMBER(Q76),ISNUMBER(R76)),R76/(R76+Q76),"SLO 不可達")</f>
        <v>0.489051117305381</v>
      </c>
      <c r="T76" s="101" t="n">
        <f aca="false">IF(AND(ISNUMBER(Q76),ISNUMBER(R76)),R76*AL_HoldTrain/(R76*AL_HoldTrain+Q76*(I76*$C$30+J76*$D$30+K76*$E$30+L76*$F$30)),"SLO 不可達")</f>
        <v>0.555769286187842</v>
      </c>
      <c r="U76" s="112" t="n">
        <f aca="false">IF(ISNUMBER(R76),R76*AL_HoldTrain,"SLO 不可達")</f>
        <v>2.13661503335465</v>
      </c>
      <c r="V76" s="69" t="n">
        <f aca="false">(M76+N76)/365/1000000</f>
        <v>16.48</v>
      </c>
      <c r="W76" s="109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9" t="s">
        <v>2282</v>
      </c>
      <c r="B77" s="59" t="s">
        <v>2259</v>
      </c>
      <c r="C77" s="84" t="n">
        <f aca="false">AL_Nmajor</f>
        <v>1</v>
      </c>
      <c r="D77" s="84" t="n">
        <f aca="false">AL_Nrefresh</f>
        <v>2</v>
      </c>
      <c r="E77" s="86" t="n">
        <f aca="false">AL_k_Lo</f>
        <v>0.5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0.6</v>
      </c>
      <c r="J77" s="83" t="n">
        <f aca="false">AL_MixGB200</f>
        <v>0.4</v>
      </c>
      <c r="K77" s="83" t="n">
        <f aca="false">AL_MixGB300</f>
        <v>0</v>
      </c>
      <c r="L77" s="83" t="n">
        <f aca="false">AL_MixVR200</f>
        <v>0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24125625824.4492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91100077130.4794</v>
      </c>
      <c r="Q77" s="70" t="n">
        <f aca="false">IF(AND(ISNUMBER(O77),ISNUMBER(P77)),IF(AND(O77&gt;0,P77&gt;0),M77/O77+N77/P77,"SLO 不可達"),"SLO 不可達")</f>
        <v>0.182592896594975</v>
      </c>
      <c r="R77" s="70" t="n">
        <f aca="false">IF(AND(ISNUMBER(AL_FamGWyr),ISNUMBER(AL_RefGWyr)),E77*(C77*AL_FamGWyr+D77*AL_RefGWyr),"SLO 不可達")</f>
        <v>0.0453423517823082</v>
      </c>
      <c r="S77" s="101" t="n">
        <f aca="false">IF(AND(ISNUMBER(Q77),ISNUMBER(R77)),R77/(R77+Q77),"SLO 不可達")</f>
        <v>0.198926458742601</v>
      </c>
      <c r="T77" s="101" t="n">
        <f aca="false">IF(AND(ISNUMBER(Q77),ISNUMBER(R77)),R77*AL_HoldTrain/(R77*AL_HoldTrain+Q77*(I77*$C$30+J77*$D$30+K77*$E$30+L77*$F$30)),"SLO 不可達")</f>
        <v>0.245046935156479</v>
      </c>
      <c r="U77" s="112" t="n">
        <f aca="false">IF(ISNUMBER(R77),R77*AL_HoldTrain,"SLO 不可達")</f>
        <v>0.554331606994261</v>
      </c>
      <c r="V77" s="69" t="n">
        <f aca="false">(M77+N77)/365/1000000</f>
        <v>16.48</v>
      </c>
      <c r="W77" s="109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9" t="s">
        <v>2283</v>
      </c>
      <c r="B78" s="59" t="s">
        <v>2259</v>
      </c>
      <c r="C78" s="84" t="n">
        <f aca="false">AL_Nmajor</f>
        <v>1</v>
      </c>
      <c r="D78" s="84" t="n">
        <f aca="false">AL_Nrefresh</f>
        <v>2</v>
      </c>
      <c r="E78" s="86" t="n">
        <f aca="false">AL_k_Hi</f>
        <v>7</v>
      </c>
      <c r="F78" s="74" t="n">
        <f aca="false">AL_APIratio</f>
        <v>0.75</v>
      </c>
      <c r="G78" s="65" t="n">
        <f aca="false">AL_TokPerPrompt</f>
        <v>4000</v>
      </c>
      <c r="H78" s="83" t="n">
        <f aca="false">AL_FreeShare</f>
        <v>0.6</v>
      </c>
      <c r="I78" s="83" t="n">
        <f aca="false">AL_MixHopper</f>
        <v>0.6</v>
      </c>
      <c r="J78" s="83" t="n">
        <f aca="false">AL_MixGB200</f>
        <v>0.4</v>
      </c>
      <c r="K78" s="83" t="n">
        <f aca="false">AL_MixGB300</f>
        <v>0</v>
      </c>
      <c r="L78" s="83" t="n">
        <f aca="false">AL_MixVR200</f>
        <v>0</v>
      </c>
      <c r="M78" s="65" t="n">
        <f aca="false">SRC_DEM_010*1000000000*525600*F78/1000000+SRC_DEM_012*1000000000*G78*365/1000000*(1-H78)</f>
        <v>3825200000</v>
      </c>
      <c r="N78" s="65" t="n">
        <f aca="false">SRC_DEM_012*1000000000*G78*365/1000000*H78</f>
        <v>2190000000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24125625824.4492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91100077130.4794</v>
      </c>
      <c r="Q78" s="70" t="n">
        <f aca="false">IF(AND(ISNUMBER(O78),ISNUMBER(P78)),IF(AND(O78&gt;0,P78&gt;0),M78/O78+N78/P78,"SLO 不可達"),"SLO 不可達")</f>
        <v>0.182592896594975</v>
      </c>
      <c r="R78" s="70" t="n">
        <f aca="false">IF(AND(ISNUMBER(AL_FamGWyr),ISNUMBER(AL_RefGWyr)),E78*(C78*AL_FamGWyr+D78*AL_RefGWyr),"SLO 不可達")</f>
        <v>0.634792924952314</v>
      </c>
      <c r="S78" s="101" t="n">
        <f aca="false">IF(AND(ISNUMBER(Q78),ISNUMBER(R78)),R78/(R78+Q78),"SLO 不可達")</f>
        <v>0.776613574909666</v>
      </c>
      <c r="T78" s="101" t="n">
        <f aca="false">IF(AND(ISNUMBER(Q78),ISNUMBER(R78)),R78*AL_HoldTrain/(R78*AL_HoldTrain+Q78*(I78*$C$30+J78*$D$30+K78*$E$30+L78*$F$30)),"SLO 不可達")</f>
        <v>0.819631299495304</v>
      </c>
      <c r="U78" s="112" t="n">
        <f aca="false">IF(ISNUMBER(R78),R78*AL_HoldTrain,"SLO 不可達")</f>
        <v>7.76064249791965</v>
      </c>
      <c r="V78" s="69" t="n">
        <f aca="false">(M78+N78)/365/1000000</f>
        <v>16.48</v>
      </c>
      <c r="W78" s="109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8" t="s">
        <v>2284</v>
      </c>
      <c r="B79" s="58" t="s">
        <v>2159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AL_TokPerPrompt_Lo</f>
        <v>2000</v>
      </c>
      <c r="H79" s="83" t="n">
        <f aca="false">AL_FreeShare</f>
        <v>0.6</v>
      </c>
      <c r="I79" s="83" t="n">
        <f aca="false">AL_MixHopper</f>
        <v>0.6</v>
      </c>
      <c r="J79" s="83" t="n">
        <f aca="false">AL_MixGB200</f>
        <v>0.4</v>
      </c>
      <c r="K79" s="83" t="n">
        <f aca="false">AL_MixGB300</f>
        <v>0</v>
      </c>
      <c r="L79" s="83" t="n">
        <f aca="false">AL_MixVR200</f>
        <v>0</v>
      </c>
      <c r="M79" s="65" t="n">
        <f aca="false">SRC_DEM_010*1000000000*525600*F79/1000000+SRC_DEM_012*1000000000*G79*365/1000000*(1-H79)</f>
        <v>3095200000</v>
      </c>
      <c r="N79" s="65" t="n">
        <f aca="false">SRC_DEM_012*1000000000*G79*365/1000000*H79</f>
        <v>1095000000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24125625824.4492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91100077130.4794</v>
      </c>
      <c r="Q79" s="70" t="n">
        <f aca="false">IF(AND(ISNUMBER(O79),ISNUMBER(P79)),IF(AND(O79&gt;0,P79&gt;0),M79/O79+N79/P79,"SLO 不可達"),"SLO 不可達")</f>
        <v>0.14031486583431</v>
      </c>
      <c r="R79" s="70" t="n">
        <f aca="false">IF(AND(ISNUMBER(AL_FamGWyr),ISNUMBER(AL_RefGWyr)),E79*(C79*AL_FamGWyr+D79*AL_RefGWyr),"SLO 不可達")</f>
        <v>0.0906847035646163</v>
      </c>
      <c r="S79" s="101" t="n">
        <f aca="false">IF(AND(ISNUMBER(Q79),ISNUMBER(R79)),R79/(R79+Q79),"SLO 不可達")</f>
        <v>0.392575206094899</v>
      </c>
      <c r="T79" s="101" t="n">
        <f aca="false">IF(AND(ISNUMBER(Q79),ISNUMBER(R79)),R79*AL_HoldTrain/(R79*AL_HoldTrain+Q79*(I79*$C$30+J79*$D$30+K79*$E$30+L79*$F$30)),"SLO 不可達")</f>
        <v>0.45792759232845</v>
      </c>
      <c r="U79" s="112" t="n">
        <f aca="false">IF(ISNUMBER(R79),R79*AL_HoldTrain,"SLO 不可達")</f>
        <v>1.10866321398852</v>
      </c>
      <c r="V79" s="69" t="n">
        <f aca="false">(M79+N79)/365/1000000</f>
        <v>11.48</v>
      </c>
      <c r="W79" s="109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8" t="s">
        <v>2285</v>
      </c>
      <c r="B80" s="58" t="s">
        <v>2159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74" t="n">
        <f aca="false">AL_APIratio</f>
        <v>0.75</v>
      </c>
      <c r="G80" s="68" t="n">
        <f aca="false">AL_TokPerPrompt_Hi</f>
        <v>11000</v>
      </c>
      <c r="H80" s="83" t="n">
        <f aca="false">AL_FreeShare</f>
        <v>0.6</v>
      </c>
      <c r="I80" s="83" t="n">
        <f aca="false">AL_MixHopper</f>
        <v>0.6</v>
      </c>
      <c r="J80" s="83" t="n">
        <f aca="false">AL_MixGB200</f>
        <v>0.4</v>
      </c>
      <c r="K80" s="83" t="n">
        <f aca="false">AL_MixGB300</f>
        <v>0</v>
      </c>
      <c r="L80" s="83" t="n">
        <f aca="false">AL_MixVR200</f>
        <v>0</v>
      </c>
      <c r="M80" s="65" t="n">
        <f aca="false">SRC_DEM_010*1000000000*525600*F80/1000000+SRC_DEM_012*1000000000*G80*365/1000000*(1-H80)</f>
        <v>6380200000</v>
      </c>
      <c r="N80" s="65" t="n">
        <f aca="false">SRC_DEM_012*1000000000*G80*365/1000000*H80</f>
        <v>6022500000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24125625824.4492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91100077130.4794</v>
      </c>
      <c r="Q80" s="70" t="n">
        <f aca="false">IF(AND(ISNUMBER(O80),ISNUMBER(P80)),IF(AND(O80&gt;0,P80&gt;0),M80/O80+N80/P80,"SLO 不可達"),"SLO 不可達")</f>
        <v>0.330566004257302</v>
      </c>
      <c r="R80" s="70" t="n">
        <f aca="false">IF(AND(ISNUMBER(AL_FamGWyr),ISNUMBER(AL_RefGWyr)),E80*(C80*AL_FamGWyr+D80*AL_RefGWyr),"SLO 不可達")</f>
        <v>0.0906847035646163</v>
      </c>
      <c r="S80" s="101" t="n">
        <f aca="false">IF(AND(ISNUMBER(Q80),ISNUMBER(R80)),R80/(R80+Q80),"SLO 不可達")</f>
        <v>0.215274898963381</v>
      </c>
      <c r="T80" s="101" t="n">
        <f aca="false">IF(AND(ISNUMBER(Q80),ISNUMBER(R80)),R80*AL_HoldTrain/(R80*AL_HoldTrain+Q80*(I80*$C$30+J80*$D$30+K80*$E$30+L80*$F$30)),"SLO 不可達")</f>
        <v>0.263936874529157</v>
      </c>
      <c r="U80" s="112" t="n">
        <f aca="false">IF(ISNUMBER(R80),R80*AL_HoldTrain,"SLO 不可達")</f>
        <v>1.10866321398852</v>
      </c>
      <c r="V80" s="69" t="n">
        <f aca="false">(M80+N80)/365/1000000</f>
        <v>33.98</v>
      </c>
      <c r="W80" s="109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9" t="s">
        <v>2286</v>
      </c>
      <c r="B81" s="59" t="s">
        <v>2287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2" t="n">
        <f aca="false">AL_APIratio_Lo</f>
        <v>0.6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0.6</v>
      </c>
      <c r="J81" s="83" t="n">
        <f aca="false">AL_MixGB200</f>
        <v>0.4</v>
      </c>
      <c r="K81" s="83" t="n">
        <f aca="false">AL_MixGB300</f>
        <v>0</v>
      </c>
      <c r="L81" s="83" t="n">
        <f aca="false">AL_MixVR200</f>
        <v>0</v>
      </c>
      <c r="M81" s="65" t="n">
        <f aca="false">SRC_DEM_010*1000000000*525600*F81/1000000+SRC_DEM_012*1000000000*G81*365/1000000*(1-H81)</f>
        <v>3352160000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24125625824.4492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91100077130.4794</v>
      </c>
      <c r="Q81" s="70" t="n">
        <f aca="false">IF(AND(ISNUMBER(O81),ISNUMBER(P81)),IF(AND(O81&gt;0,P81&gt;0),M81/O81+N81/P81,"SLO 不可達"),"SLO 不可達")</f>
        <v>0.162985529580246</v>
      </c>
      <c r="R81" s="70" t="n">
        <f aca="false">IF(AND(ISNUMBER(AL_FamGWyr),ISNUMBER(AL_RefGWyr)),E81*(C81*AL_FamGWyr+D81*AL_RefGWyr),"SLO 不可達")</f>
        <v>0.0906847035646163</v>
      </c>
      <c r="S81" s="101" t="n">
        <f aca="false">IF(AND(ISNUMBER(Q81),ISNUMBER(R81)),R81/(R81+Q81),"SLO 不可達")</f>
        <v>0.357490520036025</v>
      </c>
      <c r="T81" s="101" t="n">
        <f aca="false">IF(AND(ISNUMBER(Q81),ISNUMBER(R81)),R81*AL_HoldTrain/(R81*AL_HoldTrain+Q81*(I81*$C$30+J81*$D$30+K81*$E$30+L81*$F$30)),"SLO 不可達")</f>
        <v>0.421050861601232</v>
      </c>
      <c r="U81" s="112" t="n">
        <f aca="false">IF(ISNUMBER(R81),R81*AL_HoldTrain,"SLO 不可達")</f>
        <v>1.10866321398852</v>
      </c>
      <c r="V81" s="69" t="n">
        <f aca="false">(M81+N81)/365/1000000</f>
        <v>15.184</v>
      </c>
      <c r="W81" s="109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9" t="s">
        <v>2288</v>
      </c>
      <c r="B82" s="59" t="s">
        <v>2287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102" t="n">
        <f aca="false">AL_APIratio_Hi</f>
        <v>0.9</v>
      </c>
      <c r="G82" s="65" t="n">
        <f aca="false">AL_TokPerPrompt</f>
        <v>4000</v>
      </c>
      <c r="H82" s="83" t="n">
        <f aca="false">AL_FreeShare</f>
        <v>0.6</v>
      </c>
      <c r="I82" s="83" t="n">
        <f aca="false">AL_MixHopper</f>
        <v>0.6</v>
      </c>
      <c r="J82" s="83" t="n">
        <f aca="false">AL_MixGB200</f>
        <v>0.4</v>
      </c>
      <c r="K82" s="83" t="n">
        <f aca="false">AL_MixGB300</f>
        <v>0</v>
      </c>
      <c r="L82" s="83" t="n">
        <f aca="false">AL_MixVR200</f>
        <v>0</v>
      </c>
      <c r="M82" s="65" t="n">
        <f aca="false">SRC_DEM_010*1000000000*525600*F82/1000000+SRC_DEM_012*1000000000*G82*365/1000000*(1-H82)</f>
        <v>4298240000</v>
      </c>
      <c r="N82" s="65" t="n">
        <f aca="false">SRC_DEM_012*1000000000*G82*365/1000000*H82</f>
        <v>2190000000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24125625824.4492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91100077130.4794</v>
      </c>
      <c r="Q82" s="70" t="n">
        <f aca="false">IF(AND(ISNUMBER(O82),ISNUMBER(P82)),IF(AND(O82&gt;0,P82&gt;0),M82/O82+N82/P82,"SLO 不可達"),"SLO 不可達")</f>
        <v>0.202200263609704</v>
      </c>
      <c r="R82" s="70" t="n">
        <f aca="false">IF(AND(ISNUMBER(AL_FamGWyr),ISNUMBER(AL_RefGWyr)),E82*(C82*AL_FamGWyr+D82*AL_RefGWyr),"SLO 不可達")</f>
        <v>0.0906847035646163</v>
      </c>
      <c r="S82" s="101" t="n">
        <f aca="false">IF(AND(ISNUMBER(Q82),ISNUMBER(R82)),R82/(R82+Q82),"SLO 不可達")</f>
        <v>0.309625667850144</v>
      </c>
      <c r="T82" s="101" t="n">
        <f aca="false">IF(AND(ISNUMBER(Q82),ISNUMBER(R82)),R82*AL_HoldTrain/(R82*AL_HoldTrain+Q82*(I82*$C$30+J82*$D$30+K82*$E$30+L82*$F$30)),"SLO 不可達")</f>
        <v>0.369570880121806</v>
      </c>
      <c r="U82" s="112" t="n">
        <f aca="false">IF(ISNUMBER(R82),R82*AL_HoldTrain,"SLO 不可達")</f>
        <v>1.10866321398852</v>
      </c>
      <c r="V82" s="69" t="n">
        <f aca="false">(M82+N82)/365/1000000</f>
        <v>17.776</v>
      </c>
      <c r="W82" s="109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8" t="s">
        <v>2289</v>
      </c>
      <c r="B83" s="58" t="s">
        <v>2262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6" t="n">
        <f aca="false">AL_FreeShare_Lo</f>
        <v>0.4</v>
      </c>
      <c r="I83" s="83" t="n">
        <f aca="false">AL_MixHopper</f>
        <v>0.6</v>
      </c>
      <c r="J83" s="83" t="n">
        <f aca="false">AL_MixGB200</f>
        <v>0.4</v>
      </c>
      <c r="K83" s="83" t="n">
        <f aca="false">AL_MixGB300</f>
        <v>0</v>
      </c>
      <c r="L83" s="83" t="n">
        <f aca="false">AL_MixVR200</f>
        <v>0</v>
      </c>
      <c r="M83" s="65" t="n">
        <f aca="false">SRC_DEM_010*1000000000*525600*F83/1000000+SRC_DEM_012*1000000000*G83*365/1000000*(1-H83)</f>
        <v>4555200000</v>
      </c>
      <c r="N83" s="65" t="n">
        <f aca="false">SRC_DEM_012*1000000000*G83*365/1000000*H83</f>
        <v>1460000000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24125625824.4492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91100077130.4794</v>
      </c>
      <c r="Q83" s="70" t="n">
        <f aca="false">IF(AND(ISNUMBER(O83),ISNUMBER(P83)),IF(AND(O83&gt;0,P83&gt;0),M83/O83+N83/P83,"SLO 不可達"),"SLO 不可達")</f>
        <v>0.204838013471427</v>
      </c>
      <c r="R83" s="70" t="n">
        <f aca="false">IF(AND(ISNUMBER(AL_FamGWyr),ISNUMBER(AL_RefGWyr)),E83*(C83*AL_FamGWyr+D83*AL_RefGWyr),"SLO 不可達")</f>
        <v>0.0906847035646163</v>
      </c>
      <c r="S83" s="101" t="n">
        <f aca="false">IF(AND(ISNUMBER(Q83),ISNUMBER(R83)),R83/(R83+Q83),"SLO 不可達")</f>
        <v>0.306862039149281</v>
      </c>
      <c r="T83" s="101" t="n">
        <f aca="false">IF(AND(ISNUMBER(Q83),ISNUMBER(R83)),R83*AL_HoldTrain/(R83*AL_HoldTrain+Q83*(I83*$C$30+J83*$D$30+K83*$E$30+L83*$F$30)),"SLO 不可達")</f>
        <v>0.366556286135594</v>
      </c>
      <c r="U83" s="112" t="n">
        <f aca="false">IF(ISNUMBER(R83),R83*AL_HoldTrain,"SLO 不可達")</f>
        <v>1.10866321398852</v>
      </c>
      <c r="V83" s="69" t="n">
        <f aca="false">(M83+N83)/365/1000000</f>
        <v>16.48</v>
      </c>
      <c r="W83" s="109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8" t="s">
        <v>2290</v>
      </c>
      <c r="B84" s="58" t="s">
        <v>2262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116" t="n">
        <f aca="false">AL_FreeShare_Hi</f>
        <v>0.8</v>
      </c>
      <c r="I84" s="83" t="n">
        <f aca="false">AL_MixHopper</f>
        <v>0.6</v>
      </c>
      <c r="J84" s="83" t="n">
        <f aca="false">AL_MixGB200</f>
        <v>0.4</v>
      </c>
      <c r="K84" s="83" t="n">
        <f aca="false">AL_MixGB300</f>
        <v>0</v>
      </c>
      <c r="L84" s="83" t="n">
        <f aca="false">AL_MixVR200</f>
        <v>0</v>
      </c>
      <c r="M84" s="65" t="n">
        <f aca="false">SRC_DEM_010*1000000000*525600*F84/1000000+SRC_DEM_012*1000000000*G84*365/1000000*(1-H84)</f>
        <v>3095200000</v>
      </c>
      <c r="N84" s="65" t="n">
        <f aca="false">SRC_DEM_012*1000000000*G84*365/1000000*H84</f>
        <v>2920000000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24125625824.4492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91100077130.4794</v>
      </c>
      <c r="Q84" s="70" t="n">
        <f aca="false">IF(AND(ISNUMBER(O84),ISNUMBER(P84)),IF(AND(O84&gt;0,P84&gt;0),M84/O84+N84/P84,"SLO 不可達"),"SLO 不可達")</f>
        <v>0.160347779718522</v>
      </c>
      <c r="R84" s="70" t="n">
        <f aca="false">IF(AND(ISNUMBER(AL_FamGWyr),ISNUMBER(AL_RefGWyr)),E84*(C84*AL_FamGWyr+D84*AL_RefGWyr),"SLO 不可達")</f>
        <v>0.0906847035646163</v>
      </c>
      <c r="S84" s="101" t="n">
        <f aca="false">IF(AND(ISNUMBER(Q84),ISNUMBER(R84)),R84/(R84+Q84),"SLO 不可達")</f>
        <v>0.361246888763529</v>
      </c>
      <c r="T84" s="101" t="n">
        <f aca="false">IF(AND(ISNUMBER(Q84),ISNUMBER(R84)),R84*AL_HoldTrain/(R84*AL_HoldTrain+Q84*(I84*$C$30+J84*$D$30+K84*$E$30+L84*$F$30)),"SLO 不可達")</f>
        <v>0.425033289476539</v>
      </c>
      <c r="U84" s="112" t="n">
        <f aca="false">IF(ISNUMBER(R84),R84*AL_HoldTrain,"SLO 不可達")</f>
        <v>1.10866321398852</v>
      </c>
      <c r="V84" s="69" t="n">
        <f aca="false">(M84+N84)/365/1000000</f>
        <v>16.48</v>
      </c>
      <c r="W84" s="109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8" t="s">
        <v>2291</v>
      </c>
      <c r="B85" s="58" t="s">
        <v>2292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6" t="n">
        <f aca="false">AL_MixHopper_Lo</f>
        <v>0</v>
      </c>
      <c r="J85" s="116" t="n">
        <f aca="false">AL_MixGB200_Hi</f>
        <v>1</v>
      </c>
      <c r="K85" s="116" t="n">
        <f aca="false">AL_MixGB300_Lo</f>
        <v>0</v>
      </c>
      <c r="L85" s="116" t="n">
        <f aca="false">AL_MixVR200_Lo</f>
        <v>0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46475270191.3169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174192642344.907</v>
      </c>
      <c r="Q85" s="70" t="n">
        <f aca="false">IF(AND(ISNUMBER(O85),ISNUMBER(P85)),IF(AND(O85&gt;0,P85&gt;0),M85/O85+N85/P85,"SLO 不可達"),"SLO 不可達")</f>
        <v>0.0948784255730922</v>
      </c>
      <c r="R85" s="70" t="n">
        <f aca="false">IF(AND(ISNUMBER(AL_FamGWyr),ISNUMBER(AL_RefGWyr)),E85*(C85*AL_FamGWyr+D85*AL_RefGWyr),"SLO 不可達")</f>
        <v>0.0906847035646163</v>
      </c>
      <c r="S85" s="101" t="n">
        <f aca="false">IF(AND(ISNUMBER(Q85),ISNUMBER(R85)),R85/(R85+Q85),"SLO 不可達")</f>
        <v>0.488700012691197</v>
      </c>
      <c r="T85" s="101" t="n">
        <f aca="false">IF(AND(ISNUMBER(Q85),ISNUMBER(R85)),R85*AL_HoldTrain/(R85*AL_HoldTrain+Q85*(I85*$C$30+J85*$D$30+K85*$E$30+L85*$F$30)),"SLO 不可達")</f>
        <v>0.569636116348958</v>
      </c>
      <c r="U85" s="112" t="n">
        <f aca="false">IF(ISNUMBER(R85),R85*AL_HoldTrain,"SLO 不可達")</f>
        <v>1.10866321398852</v>
      </c>
      <c r="V85" s="69" t="n">
        <f aca="false">(M85+N85)/365/1000000</f>
        <v>16.48</v>
      </c>
      <c r="W85" s="109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58" t="s">
        <v>2293</v>
      </c>
      <c r="B86" s="58" t="s">
        <v>2292</v>
      </c>
      <c r="C86" s="84" t="n">
        <f aca="false">AL_Nmajor</f>
        <v>1</v>
      </c>
      <c r="D86" s="84" t="n">
        <f aca="false">AL_Nrefresh</f>
        <v>2</v>
      </c>
      <c r="E86" s="84" t="n">
        <f aca="false">AL_k</f>
        <v>1</v>
      </c>
      <c r="F86" s="74" t="n">
        <f aca="false">AL_APIratio</f>
        <v>0.75</v>
      </c>
      <c r="G86" s="65" t="n">
        <f aca="false">AL_TokPerPrompt</f>
        <v>4000</v>
      </c>
      <c r="H86" s="83" t="n">
        <f aca="false">AL_FreeShare</f>
        <v>0.6</v>
      </c>
      <c r="I86" s="116" t="n">
        <f aca="false">AL_MixHopper_Lo</f>
        <v>0</v>
      </c>
      <c r="J86" s="116" t="n">
        <f aca="false">AL_MixGB200_Lo</f>
        <v>0</v>
      </c>
      <c r="K86" s="116" t="n">
        <f aca="false">AL_MixGB300_Lo</f>
        <v>0</v>
      </c>
      <c r="L86" s="116" t="n">
        <f aca="false">AL_MixVR200_Hi</f>
        <v>1</v>
      </c>
      <c r="M86" s="65" t="n">
        <f aca="false">SRC_DEM_010*1000000000*525600*F86/1000000+SRC_DEM_012*1000000000*G86*365/1000000*(1-H86)</f>
        <v>3825200000</v>
      </c>
      <c r="N86" s="65" t="n">
        <f aca="false">SRC_DEM_012*1000000000*G86*365/1000000*H86</f>
        <v>2190000000</v>
      </c>
      <c r="O86" s="65" t="n">
        <f aca="false">IF(OR(AND(I86&gt;0,NOT(ISNUMBER($C$22))),AND(J86&gt;0,NOT(ISNUMBER($D$22))),AND(K86&gt;0,NOT(ISNUMBER($E$22))),AND(L86&gt;0,NOT(ISNUMBER($F$22)))),"SLO 不可達",IF(I86&gt;0,I86*$C$22,0)+IF(J86&gt;0,J86*$D$22,0)+IF(K86&gt;0,K86*$E$22,0)+IF(L86&gt;0,L86*$F$22,0))</f>
        <v>112242395547.297</v>
      </c>
      <c r="P86" s="65" t="n">
        <f aca="false">IF(OR(AND(I86&gt;0,NOT(ISNUMBER($C$23))),AND(J86&gt;0,NOT(ISNUMBER($D$23))),AND(K86&gt;0,NOT(ISNUMBER($E$23))),AND(L86&gt;0,NOT(ISNUMBER($F$23)))),"SLO 不可達",IF(I86&gt;0,I86*$C$23,0)+IF(J86&gt;0,J86*$D$23,0)+IF(K86&gt;0,K86*$E$23,0)+IF(L86&gt;0,L86*$F$23,0))</f>
        <v>378296186837.881</v>
      </c>
      <c r="Q86" s="70" t="n">
        <f aca="false">IF(AND(ISNUMBER(O86),ISNUMBER(P86)),IF(AND(O86&gt;0,P86&gt;0),M86/O86+N86/P86,"SLO 不可達"),"SLO 不可達")</f>
        <v>0.0398689289853989</v>
      </c>
      <c r="R86" s="70" t="n">
        <f aca="false">IF(AND(ISNUMBER(AL_FamGWyr),ISNUMBER(AL_RefGWyr)),E86*(C86*AL_FamGWyr+D86*AL_RefGWyr),"SLO 不可達")</f>
        <v>0.0906847035646163</v>
      </c>
      <c r="S86" s="101" t="n">
        <f aca="false">IF(AND(ISNUMBER(Q86),ISNUMBER(R86)),R86/(R86+Q86),"SLO 不可達")</f>
        <v>0.69461647135613</v>
      </c>
      <c r="T86" s="101" t="n">
        <f aca="false">IF(AND(ISNUMBER(Q86),ISNUMBER(R86)),R86*AL_HoldTrain/(R86*AL_HoldTrain+Q86*(I86*$C$30+J86*$D$30+K86*$E$30+L86*$F$30)),"SLO 不可達")</f>
        <v>0.69461647135613</v>
      </c>
      <c r="U86" s="112" t="n">
        <f aca="false">IF(ISNUMBER(R86),R86*AL_HoldTrain,"SLO 不可達")</f>
        <v>1.10866321398852</v>
      </c>
      <c r="V86" s="69" t="n">
        <f aca="false">(M86+N86)/365/1000000</f>
        <v>16.48</v>
      </c>
      <c r="W86" s="109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8" customFormat="false" ht="15" hidden="false" customHeight="false" outlineLevel="0" collapsed="false">
      <c r="A88" s="71" t="s">
        <v>2294</v>
      </c>
      <c r="B88" s="56" t="s">
        <v>608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0.6</v>
      </c>
      <c r="J88" s="83" t="n">
        <f aca="false">AL_MixGB200</f>
        <v>0.4</v>
      </c>
      <c r="K88" s="83" t="n">
        <f aca="false">AL_MixGB300</f>
        <v>0</v>
      </c>
      <c r="L88" s="83" t="n">
        <f aca="false">AL_MixVR200</f>
        <v>0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24125625824.4492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91100077130.4794</v>
      </c>
      <c r="Q88" s="70" t="n">
        <f aca="false">IF(AND(ISNUMBER(O88),ISNUMBER(P88)),IF(AND(O88&gt;0,P88&gt;0),M88/O88+N88/P88,"SLO 不可達"),"SLO 不可達")</f>
        <v>0.182592896594975</v>
      </c>
      <c r="R88" s="70" t="n">
        <f aca="false">IF(AND(ISNUMBER(AL_FamGWyr),ISNUMBER(AL_RefGWyr)),E88*(C88*AL_FamGWyr+D88*AL_RefGWyr),"SLO 不可達")</f>
        <v>0.0906847035646163</v>
      </c>
      <c r="S88" s="101" t="n">
        <f aca="false">IF(AND(ISNUMBER(Q88),ISNUMBER(R88)),R88/(R88+Q88),"SLO 不可達")</f>
        <v>0.331840968713343</v>
      </c>
      <c r="T88" s="101" t="n">
        <f aca="false">IF(AND(ISNUMBER(Q88),ISNUMBER(R88)),R88*AL_HoldTrain/(R88*AL_HoldTrain+Q88*(I88*$C$30+J88*$D$30+K88*$E$30+L88*$F$30)),"SLO 不可達")</f>
        <v>0.393634855421224</v>
      </c>
      <c r="U88" s="112" t="n">
        <f aca="false">IF(ISNUMBER(R88),R88*AL_HoldTrain,"SLO 不可達")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2295</v>
      </c>
      <c r="B89" s="56" t="s">
        <v>2257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0.6</v>
      </c>
      <c r="J89" s="83" t="n">
        <f aca="false">AL_MixGB200</f>
        <v>0.4</v>
      </c>
      <c r="K89" s="83" t="n">
        <f aca="false">AL_MixGB300</f>
        <v>0</v>
      </c>
      <c r="L89" s="83" t="n">
        <f aca="false">AL_MixVR200</f>
        <v>0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24125625824.4492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91100077130.4794</v>
      </c>
      <c r="Q89" s="70" t="n">
        <f aca="false">IF(AND(ISNUMBER(O89),ISNUMBER(P89)),IF(AND(O89&gt;0,P89&gt;0),M89/O89+N89/P89,"SLO 不可達"),"SLO 不可達")</f>
        <v>0.182592896594975</v>
      </c>
      <c r="R89" s="70" t="n">
        <f aca="false">IF(AND(ISNUMBER(AL_FamGWyr),ISNUMBER(AL_RefGWyr)),E89*(C89*AL_FamGWyr+D89*AL_RefGWyr),"SLO 不可達")</f>
        <v>0.0906847035646163</v>
      </c>
      <c r="S89" s="101" t="n">
        <f aca="false">IF(AND(ISNUMBER(Q89),ISNUMBER(R89)),R89/(R89+Q89),"SLO 不可達")</f>
        <v>0.331840968713343</v>
      </c>
      <c r="T89" s="101" t="n">
        <f aca="false">IF(AND(ISNUMBER(Q89),ISNUMBER(R89)),R89*AL_HoldTrain/(R89*AL_HoldTrain+Q89*(I89*$C$30+J89*$D$30+K89*$E$30+L89*$F$30)),"SLO 不可達")</f>
        <v>0.393634855421224</v>
      </c>
      <c r="U89" s="112" t="n">
        <f aca="false">IF(ISNUMBER(R89),R89*AL_HoldTrain,"SLO 不可達")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2296</v>
      </c>
      <c r="B90" s="56" t="s">
        <v>2257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0.6</v>
      </c>
      <c r="J90" s="83" t="n">
        <f aca="false">AL_MixGB200</f>
        <v>0.4</v>
      </c>
      <c r="K90" s="83" t="n">
        <f aca="false">AL_MixGB300</f>
        <v>0</v>
      </c>
      <c r="L90" s="83" t="n">
        <f aca="false">AL_MixVR200</f>
        <v>0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24125625824.4492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91100077130.4794</v>
      </c>
      <c r="Q90" s="70" t="n">
        <f aca="false">IF(AND(ISNUMBER(O90),ISNUMBER(P90)),IF(AND(O90&gt;0,P90&gt;0),M90/O90+N90/P90,"SLO 不可達"),"SLO 不可達")</f>
        <v>0.182592896594975</v>
      </c>
      <c r="R90" s="70" t="n">
        <f aca="false">IF(AND(ISNUMBER(AL_FamGWyr),ISNUMBER(AL_RefGWyr)),E90*(C90*AL_FamGWyr+D90*AL_RefGWyr),"SLO 不可達")</f>
        <v>0.0906847035646163</v>
      </c>
      <c r="S90" s="101" t="n">
        <f aca="false">IF(AND(ISNUMBER(Q90),ISNUMBER(R90)),R90/(R90+Q90),"SLO 不可達")</f>
        <v>0.331840968713343</v>
      </c>
      <c r="T90" s="101" t="n">
        <f aca="false">IF(AND(ISNUMBER(Q90),ISNUMBER(R90)),R90*AL_HoldTrain/(R90*AL_HoldTrain+Q90*(I90*$C$30+J90*$D$30+K90*$E$30+L90*$F$30)),"SLO 不可達")</f>
        <v>0.393634855421224</v>
      </c>
      <c r="U90" s="112" t="n">
        <f aca="false">IF(ISNUMBER(R90),R90*AL_HoldTrain,"SLO 不可達")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2297</v>
      </c>
      <c r="B91" s="56" t="s">
        <v>2258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0.6</v>
      </c>
      <c r="J91" s="83" t="n">
        <f aca="false">AL_MixGB200</f>
        <v>0.4</v>
      </c>
      <c r="K91" s="83" t="n">
        <f aca="false">AL_MixGB300</f>
        <v>0</v>
      </c>
      <c r="L91" s="83" t="n">
        <f aca="false">AL_MixVR200</f>
        <v>0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24125625824.4492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91100077130.4794</v>
      </c>
      <c r="Q91" s="70" t="n">
        <f aca="false">IF(AND(ISNUMBER(O91),ISNUMBER(P91)),IF(AND(O91&gt;0,P91&gt;0),M91/O91+N91/P91,"SLO 不可達"),"SLO 不可達")</f>
        <v>0.182592896594975</v>
      </c>
      <c r="R91" s="70" t="n">
        <f aca="false">IF(AND(ISNUMBER(AL_FamGWyr),ISNUMBER(AL_RefGWyr)),E91*(C91*AL_FamGWyr+D91*AL_RefGWyr),"SLO 不可達")</f>
        <v>0.0906847035646163</v>
      </c>
      <c r="S91" s="101" t="n">
        <f aca="false">IF(AND(ISNUMBER(Q91),ISNUMBER(R91)),R91/(R91+Q91),"SLO 不可達")</f>
        <v>0.331840968713343</v>
      </c>
      <c r="T91" s="101" t="n">
        <f aca="false">IF(AND(ISNUMBER(Q91),ISNUMBER(R91)),R91*AL_HoldTrain/(R91*AL_HoldTrain+Q91*(I91*$C$30+J91*$D$30+K91*$E$30+L91*$F$30)),"SLO 不可達")</f>
        <v>0.393634855421224</v>
      </c>
      <c r="U91" s="112" t="n">
        <f aca="false">IF(ISNUMBER(R91),R91*AL_HoldTrain,"SLO 不可達")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2298</v>
      </c>
      <c r="B92" s="56" t="s">
        <v>2258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0.6</v>
      </c>
      <c r="J92" s="83" t="n">
        <f aca="false">AL_MixGB200</f>
        <v>0.4</v>
      </c>
      <c r="K92" s="83" t="n">
        <f aca="false">AL_MixGB300</f>
        <v>0</v>
      </c>
      <c r="L92" s="83" t="n">
        <f aca="false">AL_MixVR200</f>
        <v>0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24125625824.4492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91100077130.4794</v>
      </c>
      <c r="Q92" s="70" t="n">
        <f aca="false">IF(AND(ISNUMBER(O92),ISNUMBER(P92)),IF(AND(O92&gt;0,P92&gt;0),M92/O92+N92/P92,"SLO 不可達"),"SLO 不可達")</f>
        <v>0.182592896594975</v>
      </c>
      <c r="R92" s="70" t="n">
        <f aca="false">IF(AND(ISNUMBER(AL_FamGWyr),ISNUMBER(AL_RefGWyr)),E92*(C92*AL_FamGWyr+D92*AL_RefGWyr),"SLO 不可達")</f>
        <v>0.0906847035646163</v>
      </c>
      <c r="S92" s="101" t="n">
        <f aca="false">IF(AND(ISNUMBER(Q92),ISNUMBER(R92)),R92/(R92+Q92),"SLO 不可達")</f>
        <v>0.331840968713343</v>
      </c>
      <c r="T92" s="101" t="n">
        <f aca="false">IF(AND(ISNUMBER(Q92),ISNUMBER(R92)),R92*AL_HoldTrain/(R92*AL_HoldTrain+Q92*(I92*$C$30+J92*$D$30+K92*$E$30+L92*$F$30)),"SLO 不可達")</f>
        <v>0.393634855421224</v>
      </c>
      <c r="U92" s="112" t="n">
        <f aca="false">IF(ISNUMBER(R92),R92*AL_HoldTrain,"SLO 不可達")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2299</v>
      </c>
      <c r="B93" s="56" t="s">
        <v>2259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0.6</v>
      </c>
      <c r="J93" s="83" t="n">
        <f aca="false">AL_MixGB200</f>
        <v>0.4</v>
      </c>
      <c r="K93" s="83" t="n">
        <f aca="false">AL_MixGB300</f>
        <v>0</v>
      </c>
      <c r="L93" s="83" t="n">
        <f aca="false">AL_MixVR200</f>
        <v>0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24125625824.4492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91100077130.4794</v>
      </c>
      <c r="Q93" s="70" t="n">
        <f aca="false">IF(AND(ISNUMBER(O93),ISNUMBER(P93)),IF(AND(O93&gt;0,P93&gt;0),M93/O93+N93/P93,"SLO 不可達"),"SLO 不可達")</f>
        <v>0.182592896594975</v>
      </c>
      <c r="R93" s="70" t="n">
        <f aca="false">IF(AND(ISNUMBER(AL_FamGWyr),ISNUMBER(AL_RefGWyr)),E93*(C93*AL_FamGWyr+D93*AL_RefGWyr),"SLO 不可達")</f>
        <v>0.0906847035646163</v>
      </c>
      <c r="S93" s="101" t="n">
        <f aca="false">IF(AND(ISNUMBER(Q93),ISNUMBER(R93)),R93/(R93+Q93),"SLO 不可達")</f>
        <v>0.331840968713343</v>
      </c>
      <c r="T93" s="101" t="n">
        <f aca="false">IF(AND(ISNUMBER(Q93),ISNUMBER(R93)),R93*AL_HoldTrain/(R93*AL_HoldTrain+Q93*(I93*$C$30+J93*$D$30+K93*$E$30+L93*$F$30)),"SLO 不可達")</f>
        <v>0.393634855421224</v>
      </c>
      <c r="U93" s="112" t="n">
        <f aca="false">IF(ISNUMBER(R93),R93*AL_HoldTrain,"SLO 不可達")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2300</v>
      </c>
      <c r="B94" s="56" t="s">
        <v>2259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0.6</v>
      </c>
      <c r="J94" s="83" t="n">
        <f aca="false">AL_MixGB200</f>
        <v>0.4</v>
      </c>
      <c r="K94" s="83" t="n">
        <f aca="false">AL_MixGB300</f>
        <v>0</v>
      </c>
      <c r="L94" s="83" t="n">
        <f aca="false">AL_MixVR200</f>
        <v>0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24125625824.4492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91100077130.4794</v>
      </c>
      <c r="Q94" s="70" t="n">
        <f aca="false">IF(AND(ISNUMBER(O94),ISNUMBER(P94)),IF(AND(O94&gt;0,P94&gt;0),M94/O94+N94/P94,"SLO 不可達"),"SLO 不可達")</f>
        <v>0.182592896594975</v>
      </c>
      <c r="R94" s="70" t="n">
        <f aca="false">IF(AND(ISNUMBER(AL_FamGWyr),ISNUMBER(AL_RefGWyr)),E94*(C94*AL_FamGWyr+D94*AL_RefGWyr),"SLO 不可達")</f>
        <v>0.0906847035646163</v>
      </c>
      <c r="S94" s="101" t="n">
        <f aca="false">IF(AND(ISNUMBER(Q94),ISNUMBER(R94)),R94/(R94+Q94),"SLO 不可達")</f>
        <v>0.331840968713343</v>
      </c>
      <c r="T94" s="101" t="n">
        <f aca="false">IF(AND(ISNUMBER(Q94),ISNUMBER(R94)),R94*AL_HoldTrain/(R94*AL_HoldTrain+Q94*(I94*$C$30+J94*$D$30+K94*$E$30+L94*$F$30)),"SLO 不可達")</f>
        <v>0.393634855421224</v>
      </c>
      <c r="U94" s="112" t="n">
        <f aca="false">IF(ISNUMBER(R94),R94*AL_HoldTrain,"SLO 不可達")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2301</v>
      </c>
      <c r="B95" s="71" t="s">
        <v>2302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0.6</v>
      </c>
      <c r="J95" s="83" t="n">
        <f aca="false">AL_MixGB200</f>
        <v>0.4</v>
      </c>
      <c r="K95" s="83" t="n">
        <f aca="false">AL_MixGB300</f>
        <v>0</v>
      </c>
      <c r="L95" s="83" t="n">
        <f aca="false">AL_MixVR200</f>
        <v>0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24125625824.4492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91100077130.4794</v>
      </c>
      <c r="Q95" s="70" t="n">
        <f aca="false">IF(AND(ISNUMBER(O95),ISNUMBER(P95)),IF(AND(O95&gt;0,P95&gt;0),M95/O95+N95/P95,"SLO 不可達"),"SLO 不可達")</f>
        <v>0.182592896594975</v>
      </c>
      <c r="R95" s="70" t="n">
        <f aca="false">IF(AND(ISNUMBER(AL_FamGWyr),ISNUMBER(AL_RefGWyr)),E95*(C95*AL_FamGWyr+D95*AL_RefGWyr),"SLO 不可達")</f>
        <v>0.0906847035646163</v>
      </c>
      <c r="S95" s="101" t="n">
        <f aca="false">IF(AND(ISNUMBER(Q95),ISNUMBER(R95)),R95/(R95+Q95),"SLO 不可達")</f>
        <v>0.331840968713343</v>
      </c>
      <c r="T95" s="101" t="n">
        <f aca="false">IF(AND(ISNUMBER(Q95),ISNUMBER(R95)),R95*AL_HoldTrain/(R95*AL_HoldTrain+Q95*(I95*$C$30+J95*$D$30+K95*$E$30+L95*$F$30)),"SLO 不可達")</f>
        <v>0.393634855421224</v>
      </c>
      <c r="U95" s="112" t="n">
        <f aca="false">IF(ISNUMBER(R95),R95*AL_HoldTrain,"SLO 不可達")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2303</v>
      </c>
      <c r="B96" s="71" t="s">
        <v>2302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0.6</v>
      </c>
      <c r="J96" s="83" t="n">
        <f aca="false">AL_MixGB200</f>
        <v>0.4</v>
      </c>
      <c r="K96" s="83" t="n">
        <f aca="false">AL_MixGB300</f>
        <v>0</v>
      </c>
      <c r="L96" s="83" t="n">
        <f aca="false">AL_MixVR200</f>
        <v>0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24125625824.4492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91100077130.4794</v>
      </c>
      <c r="Q96" s="70" t="n">
        <f aca="false">IF(AND(ISNUMBER(O96),ISNUMBER(P96)),IF(AND(O96&gt;0,P96&gt;0),M96/O96+N96/P96,"SLO 不可達"),"SLO 不可達")</f>
        <v>0.182592896594975</v>
      </c>
      <c r="R96" s="70" t="n">
        <f aca="false">IF(AND(ISNUMBER(AL_FamGWyr),ISNUMBER(AL_RefGWyr)),E96*(C96*AL_FamGWyr+D96*AL_RefGWyr),"SLO 不可達")</f>
        <v>0.0906847035646163</v>
      </c>
      <c r="S96" s="101" t="n">
        <f aca="false">IF(AND(ISNUMBER(Q96),ISNUMBER(R96)),R96/(R96+Q96),"SLO 不可達")</f>
        <v>0.331840968713343</v>
      </c>
      <c r="T96" s="101" t="n">
        <f aca="false">IF(AND(ISNUMBER(Q96),ISNUMBER(R96)),R96*AL_HoldTrain/(R96*AL_HoldTrain+Q96*(I96*$C$30+J96*$D$30+K96*$E$30+L96*$F$30)),"SLO 不可達")</f>
        <v>0.393634855421224</v>
      </c>
      <c r="U96" s="112" t="n">
        <f aca="false">IF(ISNUMBER(R96),R96*AL_HoldTrain,"SLO 不可達")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2304</v>
      </c>
      <c r="B97" s="56" t="s">
        <v>2305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0.6</v>
      </c>
      <c r="J97" s="83" t="n">
        <f aca="false">AL_MixGB200</f>
        <v>0.4</v>
      </c>
      <c r="K97" s="83" t="n">
        <f aca="false">AL_MixGB300</f>
        <v>0</v>
      </c>
      <c r="L97" s="83" t="n">
        <f aca="false">AL_MixVR200</f>
        <v>0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24125625824.4492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91100077130.4794</v>
      </c>
      <c r="Q97" s="70" t="n">
        <f aca="false">IF(AND(ISNUMBER(O97),ISNUMBER(P97)),IF(AND(O97&gt;0,P97&gt;0),M97/O97+N97/P97,"SLO 不可達"),"SLO 不可達")</f>
        <v>0.182592896594975</v>
      </c>
      <c r="R97" s="70" t="n">
        <f aca="false">IF(AND(ISNUMBER(AL_FamGWyr),ISNUMBER(AL_RefGWyr)),E97*(C97*AL_FamGWyr+D97*AL_RefGWyr),"SLO 不可達")</f>
        <v>0.0906847035646163</v>
      </c>
      <c r="S97" s="101" t="n">
        <f aca="false">IF(AND(ISNUMBER(Q97),ISNUMBER(R97)),R97/(R97+Q97),"SLO 不可達")</f>
        <v>0.331840968713343</v>
      </c>
      <c r="T97" s="101" t="n">
        <f aca="false">IF(AND(ISNUMBER(Q97),ISNUMBER(R97)),R97*AL_HoldTrain/(R97*AL_HoldTrain+Q97*(I97*$C$30+J97*$D$30+K97*$E$30+L97*$F$30)),"SLO 不可達")</f>
        <v>0.393634855421224</v>
      </c>
      <c r="U97" s="112" t="n">
        <f aca="false">IF(ISNUMBER(R97),R97*AL_HoldTrain,"SLO 不可達")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2306</v>
      </c>
      <c r="B98" s="56" t="s">
        <v>2305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0.6</v>
      </c>
      <c r="J98" s="83" t="n">
        <f aca="false">AL_MixGB200</f>
        <v>0.4</v>
      </c>
      <c r="K98" s="83" t="n">
        <f aca="false">AL_MixGB300</f>
        <v>0</v>
      </c>
      <c r="L98" s="83" t="n">
        <f aca="false">AL_MixVR200</f>
        <v>0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24125625824.4492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91100077130.4794</v>
      </c>
      <c r="Q98" s="70" t="n">
        <f aca="false">IF(AND(ISNUMBER(O98),ISNUMBER(P98)),IF(AND(O98&gt;0,P98&gt;0),M98/O98+N98/P98,"SLO 不可達"),"SLO 不可達")</f>
        <v>0.182592896594975</v>
      </c>
      <c r="R98" s="70" t="n">
        <f aca="false">IF(AND(ISNUMBER(AL_FamGWyr),ISNUMBER(AL_RefGWyr)),E98*(C98*AL_FamGWyr+D98*AL_RefGWyr),"SLO 不可達")</f>
        <v>0.0906847035646163</v>
      </c>
      <c r="S98" s="101" t="n">
        <f aca="false">IF(AND(ISNUMBER(Q98),ISNUMBER(R98)),R98/(R98+Q98),"SLO 不可達")</f>
        <v>0.331840968713343</v>
      </c>
      <c r="T98" s="101" t="n">
        <f aca="false">IF(AND(ISNUMBER(Q98),ISNUMBER(R98)),R98*AL_HoldTrain/(R98*AL_HoldTrain+Q98*(I98*$C$30+J98*$D$30+K98*$E$30+L98*$F$30)),"SLO 不可達")</f>
        <v>0.393634855421224</v>
      </c>
      <c r="U98" s="112" t="n">
        <f aca="false">IF(ISNUMBER(R98),R98*AL_HoldTrain,"SLO 不可達")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2307</v>
      </c>
      <c r="B99" s="71" t="s">
        <v>2262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0.6</v>
      </c>
      <c r="J99" s="83" t="n">
        <f aca="false">AL_MixGB200</f>
        <v>0.4</v>
      </c>
      <c r="K99" s="83" t="n">
        <f aca="false">AL_MixGB300</f>
        <v>0</v>
      </c>
      <c r="L99" s="83" t="n">
        <f aca="false">AL_MixVR200</f>
        <v>0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24125625824.4492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91100077130.4794</v>
      </c>
      <c r="Q99" s="70" t="n">
        <f aca="false">IF(AND(ISNUMBER(O99),ISNUMBER(P99)),IF(AND(O99&gt;0,P99&gt;0),M99/O99+N99/P99,"SLO 不可達"),"SLO 不可達")</f>
        <v>0.182592896594975</v>
      </c>
      <c r="R99" s="70" t="n">
        <f aca="false">IF(AND(ISNUMBER(AL_FamGWyr),ISNUMBER(AL_RefGWyr)),E99*(C99*AL_FamGWyr+D99*AL_RefGWyr),"SLO 不可達")</f>
        <v>0.0906847035646163</v>
      </c>
      <c r="S99" s="101" t="n">
        <f aca="false">IF(AND(ISNUMBER(Q99),ISNUMBER(R99)),R99/(R99+Q99),"SLO 不可達")</f>
        <v>0.331840968713343</v>
      </c>
      <c r="T99" s="101" t="n">
        <f aca="false">IF(AND(ISNUMBER(Q99),ISNUMBER(R99)),R99*AL_HoldTrain/(R99*AL_HoldTrain+Q99*(I99*$C$30+J99*$D$30+K99*$E$30+L99*$F$30)),"SLO 不可達")</f>
        <v>0.393634855421224</v>
      </c>
      <c r="U99" s="112" t="n">
        <f aca="false">IF(ISNUMBER(R99),R99*AL_HoldTrain,"SLO 不可達")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2308</v>
      </c>
      <c r="B100" s="71" t="s">
        <v>2262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0.6</v>
      </c>
      <c r="J100" s="83" t="n">
        <f aca="false">AL_MixGB200</f>
        <v>0.4</v>
      </c>
      <c r="K100" s="83" t="n">
        <f aca="false">AL_MixGB300</f>
        <v>0</v>
      </c>
      <c r="L100" s="83" t="n">
        <f aca="false">AL_MixVR200</f>
        <v>0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24125625824.4492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91100077130.4794</v>
      </c>
      <c r="Q100" s="70" t="n">
        <f aca="false">IF(AND(ISNUMBER(O100),ISNUMBER(P100)),IF(AND(O100&gt;0,P100&gt;0),M100/O100+N100/P100,"SLO 不可達"),"SLO 不可達")</f>
        <v>0.182592896594975</v>
      </c>
      <c r="R100" s="70" t="n">
        <f aca="false">IF(AND(ISNUMBER(AL_FamGWyr),ISNUMBER(AL_RefGWyr)),E100*(C100*AL_FamGWyr+D100*AL_RefGWyr),"SLO 不可達")</f>
        <v>0.0906847035646163</v>
      </c>
      <c r="S100" s="101" t="n">
        <f aca="false">IF(AND(ISNUMBER(Q100),ISNUMBER(R100)),R100/(R100+Q100),"SLO 不可達")</f>
        <v>0.331840968713343</v>
      </c>
      <c r="T100" s="101" t="n">
        <f aca="false">IF(AND(ISNUMBER(Q100),ISNUMBER(R100)),R100*AL_HoldTrain/(R100*AL_HoldTrain+Q100*(I100*$C$30+J100*$D$30+K100*$E$30+L100*$F$30)),"SLO 不可達")</f>
        <v>0.393634855421224</v>
      </c>
      <c r="U100" s="112" t="n">
        <f aca="false">IF(ISNUMBER(R100),R100*AL_HoldTrain,"SLO 不可達")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2309</v>
      </c>
      <c r="B101" s="71" t="s">
        <v>2292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0.6</v>
      </c>
      <c r="J101" s="83" t="n">
        <f aca="false">AL_MixGB200</f>
        <v>0.4</v>
      </c>
      <c r="K101" s="83" t="n">
        <f aca="false">AL_MixGB300</f>
        <v>0</v>
      </c>
      <c r="L101" s="83" t="n">
        <f aca="false">AL_MixVR200</f>
        <v>0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24125625824.4492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91100077130.4794</v>
      </c>
      <c r="Q101" s="70" t="n">
        <f aca="false">IF(AND(ISNUMBER(O101),ISNUMBER(P101)),IF(AND(O101&gt;0,P101&gt;0),M101/O101+N101/P101,"SLO 不可達"),"SLO 不可達")</f>
        <v>0.182592896594975</v>
      </c>
      <c r="R101" s="70" t="n">
        <f aca="false">IF(AND(ISNUMBER(AL_FamGWyr),ISNUMBER(AL_RefGWyr)),E101*(C101*AL_FamGWyr+D101*AL_RefGWyr),"SLO 不可達")</f>
        <v>0.0906847035646163</v>
      </c>
      <c r="S101" s="101" t="n">
        <f aca="false">IF(AND(ISNUMBER(Q101),ISNUMBER(R101)),R101/(R101+Q101),"SLO 不可達")</f>
        <v>0.331840968713343</v>
      </c>
      <c r="T101" s="101" t="n">
        <f aca="false">IF(AND(ISNUMBER(Q101),ISNUMBER(R101)),R101*AL_HoldTrain/(R101*AL_HoldTrain+Q101*(I101*$C$30+J101*$D$30+K101*$E$30+L101*$F$30)),"SLO 不可達")</f>
        <v>0.393634855421224</v>
      </c>
      <c r="U101" s="112" t="n">
        <f aca="false">IF(ISNUMBER(R101),R101*AL_HoldTrain,"SLO 不可達")</f>
        <v>1.10866321398852</v>
      </c>
      <c r="V101" s="69" t="n">
        <f aca="false">(M101+N101)/365/1000000</f>
        <v>16.48</v>
      </c>
    </row>
    <row r="102" customFormat="false" ht="15" hidden="false" customHeight="false" outlineLevel="0" collapsed="false">
      <c r="A102" s="71" t="s">
        <v>2310</v>
      </c>
      <c r="B102" s="71" t="s">
        <v>2292</v>
      </c>
      <c r="C102" s="84" t="n">
        <f aca="false">AL_Nmajor</f>
        <v>1</v>
      </c>
      <c r="D102" s="84" t="n">
        <f aca="false">AL_Nrefresh</f>
        <v>2</v>
      </c>
      <c r="E102" s="84" t="n">
        <f aca="false">AL_k</f>
        <v>1</v>
      </c>
      <c r="F102" s="74" t="n">
        <f aca="false">AL_APIratio</f>
        <v>0.75</v>
      </c>
      <c r="G102" s="65" t="n">
        <f aca="false">AL_TokPerPrompt</f>
        <v>4000</v>
      </c>
      <c r="H102" s="83" t="n">
        <f aca="false">AL_FreeShare</f>
        <v>0.6</v>
      </c>
      <c r="I102" s="83" t="n">
        <f aca="false">AL_MixHopper</f>
        <v>0.6</v>
      </c>
      <c r="J102" s="83" t="n">
        <f aca="false">AL_MixGB200</f>
        <v>0.4</v>
      </c>
      <c r="K102" s="83" t="n">
        <f aca="false">AL_MixGB300</f>
        <v>0</v>
      </c>
      <c r="L102" s="83" t="n">
        <f aca="false">AL_MixVR200</f>
        <v>0</v>
      </c>
      <c r="M102" s="65" t="n">
        <f aca="false">SRC_DEM_010*1000000000*525600*F102/1000000+SRC_DEM_012*1000000000*G102*365/1000000*(1-H102)</f>
        <v>3825200000</v>
      </c>
      <c r="N102" s="65" t="n">
        <f aca="false">SRC_DEM_012*1000000000*G102*365/1000000*H102</f>
        <v>2190000000</v>
      </c>
      <c r="O102" s="65" t="n">
        <f aca="false">IF(OR(AND(I102&gt;0,NOT(ISNUMBER($C$22))),AND(J102&gt;0,NOT(ISNUMBER($D$22))),AND(K102&gt;0,NOT(ISNUMBER($E$22))),AND(L102&gt;0,NOT(ISNUMBER($F$22)))),"SLO 不可達",IF(I102&gt;0,I102*$C$22,0)+IF(J102&gt;0,J102*$D$22,0)+IF(K102&gt;0,K102*$E$22,0)+IF(L102&gt;0,L102*$F$22,0))</f>
        <v>24125625824.4492</v>
      </c>
      <c r="P102" s="65" t="n">
        <f aca="false">IF(OR(AND(I102&gt;0,NOT(ISNUMBER($C$23))),AND(J102&gt;0,NOT(ISNUMBER($D$23))),AND(K102&gt;0,NOT(ISNUMBER($E$23))),AND(L102&gt;0,NOT(ISNUMBER($F$23)))),"SLO 不可達",IF(I102&gt;0,I102*$C$23,0)+IF(J102&gt;0,J102*$D$23,0)+IF(K102&gt;0,K102*$E$23,0)+IF(L102&gt;0,L102*$F$23,0))</f>
        <v>91100077130.4794</v>
      </c>
      <c r="Q102" s="70" t="n">
        <f aca="false">IF(AND(ISNUMBER(O102),ISNUMBER(P102)),IF(AND(O102&gt;0,P102&gt;0),M102/O102+N102/P102,"SLO 不可達"),"SLO 不可達")</f>
        <v>0.182592896594975</v>
      </c>
      <c r="R102" s="70" t="n">
        <f aca="false">IF(AND(ISNUMBER(AL_FamGWyr),ISNUMBER(AL_RefGWyr)),E102*(C102*AL_FamGWyr+D102*AL_RefGWyr),"SLO 不可達")</f>
        <v>0.0906847035646163</v>
      </c>
      <c r="S102" s="101" t="n">
        <f aca="false">IF(AND(ISNUMBER(Q102),ISNUMBER(R102)),R102/(R102+Q102),"SLO 不可達")</f>
        <v>0.331840968713343</v>
      </c>
      <c r="T102" s="101" t="n">
        <f aca="false">IF(AND(ISNUMBER(Q102),ISNUMBER(R102)),R102*AL_HoldTrain/(R102*AL_HoldTrain+Q102*(I102*$C$30+J102*$D$30+K102*$E$30+L102*$F$30)),"SLO 不可達")</f>
        <v>0.393634855421224</v>
      </c>
      <c r="U102" s="112" t="n">
        <f aca="false">IF(ISNUMBER(R102),R102*AL_HoldTrain,"SLO 不可達")</f>
        <v>1.10866321398852</v>
      </c>
      <c r="V102" s="69" t="n">
        <f aca="false">(M102+N102)/365/1000000</f>
        <v>16.48</v>
      </c>
    </row>
    <row r="104" customFormat="false" ht="15" hidden="false" customHeight="false" outlineLevel="0" collapsed="false">
      <c r="A104" s="73" t="s">
        <v>2311</v>
      </c>
      <c r="B104" s="67"/>
      <c r="C104" s="67"/>
      <c r="D104" s="67"/>
      <c r="E104" s="67"/>
      <c r="F104" s="67"/>
      <c r="G104" s="67"/>
    </row>
    <row r="105" customFormat="false" ht="29.85" hidden="false" customHeight="false" outlineLevel="0" collapsed="false">
      <c r="A105" s="5" t="s">
        <v>2312</v>
      </c>
      <c r="B105" s="59" t="s">
        <v>1346</v>
      </c>
      <c r="C105" s="60" t="n">
        <f aca="false">IF(AND(ISNUMBER(C22),ISNUMBER(INDEX(Fleet_1GW!$C$19:$Q$19,1,C$17)),ISNUMBER(INDEX(Fleet_1GW_Prod!$C$19:$Q$19,1,C$17))),C22*INDEX(Fleet_1GW_Prod!$C$19:$Q$19,1,C$17)/INDEX(Fleet_1GW!$C$19:$Q$19,1,C$17),"SLO 不可達")</f>
        <v>5167001224.95905</v>
      </c>
      <c r="D105" s="60" t="n">
        <f aca="false">IF(AND(ISNUMBER(D22),ISNUMBER(INDEX(Fleet_1GW!$C$19:$Q$19,1,D$17)),ISNUMBER(INDEX(Fleet_1GW_Prod!$C$19:$Q$19,1,D$17))),D22*INDEX(Fleet_1GW_Prod!$C$19:$Q$19,1,D$17)/INDEX(Fleet_1GW!$C$19:$Q$19,1,D$17),"SLO 不可達")</f>
        <v>35211672511.609</v>
      </c>
      <c r="E105" s="60" t="n">
        <f aca="false">IF(AND(ISNUMBER(E22),ISNUMBER(INDEX(Fleet_1GW!$C$19:$Q$19,1,E$17)),ISNUMBER(INDEX(Fleet_1GW_Prod!$C$19:$Q$19,1,E$17))),E22*INDEX(Fleet_1GW_Prod!$C$19:$Q$19,1,E$17)/INDEX(Fleet_1GW!$C$19:$Q$19,1,E$17),"SLO 不可達")</f>
        <v>44304884154.5694</v>
      </c>
      <c r="F105" s="60" t="n">
        <f aca="false">IF(AND(ISNUMBER(F22),ISNUMBER(INDEX(Fleet_1GW!$C$19:$Q$19,1,F$17)),ISNUMBER(INDEX(Fleet_1GW_Prod!$C$19:$Q$19,1,F$17))),F22*INDEX(Fleet_1GW_Prod!$C$19:$Q$19,1,F$17)/INDEX(Fleet_1GW!$C$19:$Q$19,1,F$17),"SLO 不可達")</f>
        <v>87802607744.242</v>
      </c>
      <c r="G105" s="71" t="s">
        <v>2313</v>
      </c>
    </row>
    <row r="106" customFormat="false" ht="15" hidden="false" customHeight="false" outlineLevel="0" collapsed="false">
      <c r="A106" s="5" t="s">
        <v>2314</v>
      </c>
      <c r="B106" s="59" t="s">
        <v>1346</v>
      </c>
      <c r="C106" s="65" t="n">
        <f aca="false">IF(OR(AND(C$18&gt;0,NOT(ISNUMBER(C$105))),AND(D$18&gt;0,NOT(ISNUMBER(D$105))),AND(E$18&gt;0,NOT(ISNUMBER(E$105))),AND(F$18&gt;0,NOT(ISNUMBER(F$105)))),"SLO 不可達",IF(C$18&gt;0,C$18*C$105,0)+IF(D$18&gt;0,D$18*D$105,0)+IF(E$18&gt;0,E$18*E$105,0)+IF(F$18&gt;0,F$18*F$105,0))</f>
        <v>17184869739.619</v>
      </c>
    </row>
    <row r="107" customFormat="false" ht="29.85" hidden="false" customHeight="false" outlineLevel="0" collapsed="false">
      <c r="A107" s="5" t="s">
        <v>2315</v>
      </c>
      <c r="B107" s="59" t="s">
        <v>97</v>
      </c>
      <c r="C107" s="171" t="n">
        <f aca="false">IF(AND(ISNUMBER(AL_BlendPaidProd),ISNUMBER(AL_BlendPaid)),IF(AL_BlendPaid&gt;0,AL_BlendPaidProd/AL_BlendPaid,"SLO 不可達"),"SLO 不可達")</f>
        <v>0.712307728913032</v>
      </c>
      <c r="G107" s="56" t="s">
        <v>2316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2317</v>
      </c>
    </row>
    <row r="2" customFormat="false" ht="15" hidden="false" customHeight="false" outlineLevel="0" collapsed="false">
      <c r="A2" s="71" t="s">
        <v>2318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Perf!A4</f>
        <v>世代</v>
      </c>
      <c r="C4" s="90" t="str">
        <f aca="false">Perf!C4</f>
        <v>Hopper H100</v>
      </c>
      <c r="D4" s="90" t="str">
        <f aca="false">Perf!D4</f>
        <v>Hopper H100</v>
      </c>
      <c r="E4" s="90" t="str">
        <f aca="false">Perf!E4</f>
        <v>Hopper H100</v>
      </c>
      <c r="F4" s="90" t="str">
        <f aca="false">Perf!F4</f>
        <v>GB200 NVL72</v>
      </c>
      <c r="G4" s="90" t="str">
        <f aca="false">Perf!G4</f>
        <v>GB200 NVL72</v>
      </c>
      <c r="H4" s="90" t="str">
        <f aca="false">Perf!H4</f>
        <v>GB200 NVL72</v>
      </c>
      <c r="I4" s="90" t="str">
        <f aca="false">Perf!I4</f>
        <v>GB300 NVL72</v>
      </c>
      <c r="J4" s="90" t="str">
        <f aca="false">Perf!J4</f>
        <v>GB300 NVL72</v>
      </c>
      <c r="K4" s="90" t="str">
        <f aca="false">Perf!K4</f>
        <v>GB300 NVL72</v>
      </c>
      <c r="L4" s="90" t="str">
        <f aca="false">Perf!L4</f>
        <v>VR200 NVL72</v>
      </c>
      <c r="M4" s="90" t="str">
        <f aca="false">Perf!M4</f>
        <v>VR200 NVL72</v>
      </c>
      <c r="N4" s="90" t="str">
        <f aca="false">Perf!N4</f>
        <v>VR200 NVL72</v>
      </c>
      <c r="O4" s="90" t="str">
        <f aca="false">Perf!O4</f>
        <v>Rubin Ultra（MGX NVL 單架，72 GPU）</v>
      </c>
      <c r="P4" s="90" t="str">
        <f aca="false">Perf!P4</f>
        <v>Rubin Ultra（MGX NVL 單架，72 GPU）</v>
      </c>
      <c r="Q4" s="90" t="str">
        <f aca="false">Perf!Q4</f>
        <v>Rubin Ultra（MGX NVL 單架，72 GPU）</v>
      </c>
      <c r="S4" s="90" t="str">
        <f aca="false">Perf!C4</f>
        <v>Hopper H100</v>
      </c>
      <c r="T4" s="90" t="str">
        <f aca="false">Perf!D4</f>
        <v>Hopper H100</v>
      </c>
      <c r="U4" s="90" t="str">
        <f aca="false">Perf!E4</f>
        <v>Hopper H100</v>
      </c>
      <c r="V4" s="90" t="str">
        <f aca="false">Perf!F4</f>
        <v>GB200 NVL72</v>
      </c>
      <c r="W4" s="90" t="str">
        <f aca="false">Perf!G4</f>
        <v>GB200 NVL72</v>
      </c>
      <c r="X4" s="90" t="str">
        <f aca="false">Perf!H4</f>
        <v>GB200 NVL72</v>
      </c>
      <c r="Y4" s="90" t="str">
        <f aca="false">Perf!I4</f>
        <v>GB300 NVL72</v>
      </c>
      <c r="Z4" s="90" t="str">
        <f aca="false">Perf!J4</f>
        <v>GB300 NVL72</v>
      </c>
      <c r="AA4" s="90" t="str">
        <f aca="false">Perf!K4</f>
        <v>GB300 NVL72</v>
      </c>
      <c r="AB4" s="90" t="str">
        <f aca="false">Perf!L4</f>
        <v>VR200 NVL72</v>
      </c>
      <c r="AC4" s="90" t="str">
        <f aca="false">Perf!M4</f>
        <v>VR200 NVL72</v>
      </c>
      <c r="AD4" s="90" t="str">
        <f aca="false">Perf!N4</f>
        <v>VR200 NVL72</v>
      </c>
      <c r="AE4" s="90" t="str">
        <f aca="false">Perf!O4</f>
        <v>Rubin Ultra（MGX NVL 單架，72 GPU）</v>
      </c>
      <c r="AF4" s="90" t="str">
        <f aca="false">Perf!P4</f>
        <v>Rubin Ultra（MGX NVL 單架，72 GPU）</v>
      </c>
      <c r="AG4" s="90" t="str">
        <f aca="false">Perf!Q4</f>
        <v>Rubin Ultra（MGX NVL 單架，72 GPU）</v>
      </c>
    </row>
    <row r="5" customFormat="false" ht="15" hidden="false" customHeight="false" outlineLevel="0" collapsed="false">
      <c r="A5" s="90" t="str">
        <f aca="false">Perf!A5</f>
        <v>層級</v>
      </c>
      <c r="C5" s="90" t="str">
        <f aca="false">Perf!C5</f>
        <v>Luna（低層）</v>
      </c>
      <c r="D5" s="90" t="str">
        <f aca="false">Perf!D5</f>
        <v>Sol（中層）</v>
      </c>
      <c r="E5" s="90" t="str">
        <f aca="false">Perf!E5</f>
        <v>Astra（頂層）</v>
      </c>
      <c r="F5" s="90" t="str">
        <f aca="false">Perf!F5</f>
        <v>Luna（低層）</v>
      </c>
      <c r="G5" s="90" t="str">
        <f aca="false">Perf!G5</f>
        <v>Sol（中層）</v>
      </c>
      <c r="H5" s="90" t="str">
        <f aca="false">Perf!H5</f>
        <v>Astra（頂層）</v>
      </c>
      <c r="I5" s="90" t="str">
        <f aca="false">Perf!I5</f>
        <v>Luna（低層）</v>
      </c>
      <c r="J5" s="90" t="str">
        <f aca="false">Perf!J5</f>
        <v>Sol（中層）</v>
      </c>
      <c r="K5" s="90" t="str">
        <f aca="false">Perf!K5</f>
        <v>Astra（頂層）</v>
      </c>
      <c r="L5" s="90" t="str">
        <f aca="false">Perf!L5</f>
        <v>Luna（低層）</v>
      </c>
      <c r="M5" s="90" t="str">
        <f aca="false">Perf!M5</f>
        <v>Sol（中層）</v>
      </c>
      <c r="N5" s="90" t="str">
        <f aca="false">Perf!N5</f>
        <v>Astra（頂層）</v>
      </c>
      <c r="O5" s="90" t="str">
        <f aca="false">Perf!O5</f>
        <v>Luna（低層）</v>
      </c>
      <c r="P5" s="90" t="str">
        <f aca="false">Perf!P5</f>
        <v>Sol（中層）</v>
      </c>
      <c r="Q5" s="90" t="str">
        <f aca="false">Perf!Q5</f>
        <v>Astra（頂層）</v>
      </c>
      <c r="S5" s="90" t="str">
        <f aca="false">Perf!C5</f>
        <v>Luna（低層）</v>
      </c>
      <c r="T5" s="90" t="str">
        <f aca="false">Perf!D5</f>
        <v>Sol（中層）</v>
      </c>
      <c r="U5" s="90" t="str">
        <f aca="false">Perf!E5</f>
        <v>Astra（頂層）</v>
      </c>
      <c r="V5" s="90" t="str">
        <f aca="false">Perf!F5</f>
        <v>Luna（低層）</v>
      </c>
      <c r="W5" s="90" t="str">
        <f aca="false">Perf!G5</f>
        <v>Sol（中層）</v>
      </c>
      <c r="X5" s="90" t="str">
        <f aca="false">Perf!H5</f>
        <v>Astra（頂層）</v>
      </c>
      <c r="Y5" s="90" t="str">
        <f aca="false">Perf!I5</f>
        <v>Luna（低層）</v>
      </c>
      <c r="Z5" s="90" t="str">
        <f aca="false">Perf!J5</f>
        <v>Sol（中層）</v>
      </c>
      <c r="AA5" s="90" t="str">
        <f aca="false">Perf!K5</f>
        <v>Astra（頂層）</v>
      </c>
      <c r="AB5" s="90" t="str">
        <f aca="false">Perf!L5</f>
        <v>Luna（低層）</v>
      </c>
      <c r="AC5" s="90" t="str">
        <f aca="false">Perf!M5</f>
        <v>Sol（中層）</v>
      </c>
      <c r="AD5" s="90" t="str">
        <f aca="false">Perf!N5</f>
        <v>Astra（頂層）</v>
      </c>
      <c r="AE5" s="90" t="str">
        <f aca="false">Perf!O5</f>
        <v>Luna（低層）</v>
      </c>
      <c r="AF5" s="90" t="str">
        <f aca="false">Perf!P5</f>
        <v>Sol（中層）</v>
      </c>
      <c r="AG5" s="90" t="str">
        <f aca="false">Perf!Q5</f>
        <v>Astra（頂層）</v>
      </c>
    </row>
    <row r="6" customFormat="false" ht="15" hidden="false" customHeight="false" outlineLevel="0" collapsed="false">
      <c r="A6" s="90" t="str">
        <f aca="false">Perf!A6</f>
        <v>世代索引</v>
      </c>
      <c r="C6" s="87" t="n">
        <f aca="false">Perf!C6</f>
        <v>1</v>
      </c>
      <c r="D6" s="87" t="n">
        <f aca="false">Perf!D6</f>
        <v>1</v>
      </c>
      <c r="E6" s="87" t="n">
        <f aca="false">Perf!E6</f>
        <v>1</v>
      </c>
      <c r="F6" s="87" t="n">
        <f aca="false">Perf!F6</f>
        <v>2</v>
      </c>
      <c r="G6" s="87" t="n">
        <f aca="false">Perf!G6</f>
        <v>2</v>
      </c>
      <c r="H6" s="87" t="n">
        <f aca="false">Perf!H6</f>
        <v>2</v>
      </c>
      <c r="I6" s="87" t="n">
        <f aca="false">Perf!I6</f>
        <v>3</v>
      </c>
      <c r="J6" s="87" t="n">
        <f aca="false">Perf!J6</f>
        <v>3</v>
      </c>
      <c r="K6" s="87" t="n">
        <f aca="false">Perf!K6</f>
        <v>3</v>
      </c>
      <c r="L6" s="87" t="n">
        <f aca="false">Perf!L6</f>
        <v>4</v>
      </c>
      <c r="M6" s="87" t="n">
        <f aca="false">Perf!M6</f>
        <v>4</v>
      </c>
      <c r="N6" s="87" t="n">
        <f aca="false">Perf!N6</f>
        <v>4</v>
      </c>
      <c r="O6" s="87" t="n">
        <f aca="false">Perf!O6</f>
        <v>5</v>
      </c>
      <c r="P6" s="87" t="n">
        <f aca="false">Perf!P6</f>
        <v>5</v>
      </c>
      <c r="Q6" s="87" t="n">
        <f aca="false">Perf!Q6</f>
        <v>5</v>
      </c>
      <c r="S6" s="87" t="n">
        <f aca="false">Perf!C6</f>
        <v>1</v>
      </c>
      <c r="T6" s="87" t="n">
        <f aca="false">Perf!D6</f>
        <v>1</v>
      </c>
      <c r="U6" s="87" t="n">
        <f aca="false">Perf!E6</f>
        <v>1</v>
      </c>
      <c r="V6" s="87" t="n">
        <f aca="false">Perf!F6</f>
        <v>2</v>
      </c>
      <c r="W6" s="87" t="n">
        <f aca="false">Perf!G6</f>
        <v>2</v>
      </c>
      <c r="X6" s="87" t="n">
        <f aca="false">Perf!H6</f>
        <v>2</v>
      </c>
      <c r="Y6" s="87" t="n">
        <f aca="false">Perf!I6</f>
        <v>3</v>
      </c>
      <c r="Z6" s="87" t="n">
        <f aca="false">Perf!J6</f>
        <v>3</v>
      </c>
      <c r="AA6" s="87" t="n">
        <f aca="false">Perf!K6</f>
        <v>3</v>
      </c>
      <c r="AB6" s="87" t="n">
        <f aca="false">Perf!L6</f>
        <v>4</v>
      </c>
      <c r="AC6" s="87" t="n">
        <f aca="false">Perf!M6</f>
        <v>4</v>
      </c>
      <c r="AD6" s="87" t="n">
        <f aca="false">Perf!N6</f>
        <v>4</v>
      </c>
      <c r="AE6" s="87" t="n">
        <f aca="false">Perf!O6</f>
        <v>5</v>
      </c>
      <c r="AF6" s="87" t="n">
        <f aca="false">Perf!P6</f>
        <v>5</v>
      </c>
      <c r="AG6" s="87" t="n">
        <f aca="false">Perf!Q6</f>
        <v>5</v>
      </c>
    </row>
    <row r="7" customFormat="false" ht="15" hidden="false" customHeight="false" outlineLevel="0" collapsed="false">
      <c r="A7" s="90" t="str">
        <f aca="false">Perf!A7</f>
        <v>層級索引</v>
      </c>
      <c r="C7" s="87" t="n">
        <f aca="false">Perf!C7</f>
        <v>1</v>
      </c>
      <c r="D7" s="87" t="n">
        <f aca="false">Perf!D7</f>
        <v>2</v>
      </c>
      <c r="E7" s="87" t="n">
        <f aca="false">Perf!E7</f>
        <v>3</v>
      </c>
      <c r="F7" s="87" t="n">
        <f aca="false">Perf!F7</f>
        <v>1</v>
      </c>
      <c r="G7" s="87" t="n">
        <f aca="false">Perf!G7</f>
        <v>2</v>
      </c>
      <c r="H7" s="87" t="n">
        <f aca="false">Perf!H7</f>
        <v>3</v>
      </c>
      <c r="I7" s="87" t="n">
        <f aca="false">Perf!I7</f>
        <v>1</v>
      </c>
      <c r="J7" s="87" t="n">
        <f aca="false">Perf!J7</f>
        <v>2</v>
      </c>
      <c r="K7" s="87" t="n">
        <f aca="false">Perf!K7</f>
        <v>3</v>
      </c>
      <c r="L7" s="87" t="n">
        <f aca="false">Perf!L7</f>
        <v>1</v>
      </c>
      <c r="M7" s="87" t="n">
        <f aca="false">Perf!M7</f>
        <v>2</v>
      </c>
      <c r="N7" s="87" t="n">
        <f aca="false">Perf!N7</f>
        <v>3</v>
      </c>
      <c r="O7" s="87" t="n">
        <f aca="false">Perf!O7</f>
        <v>1</v>
      </c>
      <c r="P7" s="87" t="n">
        <f aca="false">Perf!P7</f>
        <v>2</v>
      </c>
      <c r="Q7" s="87" t="n">
        <f aca="false">Perf!Q7</f>
        <v>3</v>
      </c>
      <c r="S7" s="87" t="n">
        <f aca="false">Perf!C7</f>
        <v>1</v>
      </c>
      <c r="T7" s="87" t="n">
        <f aca="false">Perf!D7</f>
        <v>2</v>
      </c>
      <c r="U7" s="87" t="n">
        <f aca="false">Perf!E7</f>
        <v>3</v>
      </c>
      <c r="V7" s="87" t="n">
        <f aca="false">Perf!F7</f>
        <v>1</v>
      </c>
      <c r="W7" s="87" t="n">
        <f aca="false">Perf!G7</f>
        <v>2</v>
      </c>
      <c r="X7" s="87" t="n">
        <f aca="false">Perf!H7</f>
        <v>3</v>
      </c>
      <c r="Y7" s="87" t="n">
        <f aca="false">Perf!I7</f>
        <v>1</v>
      </c>
      <c r="Z7" s="87" t="n">
        <f aca="false">Perf!J7</f>
        <v>2</v>
      </c>
      <c r="AA7" s="87" t="n">
        <f aca="false">Perf!K7</f>
        <v>3</v>
      </c>
      <c r="AB7" s="87" t="n">
        <f aca="false">Perf!L7</f>
        <v>1</v>
      </c>
      <c r="AC7" s="87" t="n">
        <f aca="false">Perf!M7</f>
        <v>2</v>
      </c>
      <c r="AD7" s="87" t="n">
        <f aca="false">Perf!N7</f>
        <v>3</v>
      </c>
      <c r="AE7" s="87" t="n">
        <f aca="false">Perf!O7</f>
        <v>1</v>
      </c>
      <c r="AF7" s="87" t="n">
        <f aca="false">Perf!P7</f>
        <v>2</v>
      </c>
      <c r="AG7" s="87" t="n">
        <f aca="false">Perf!Q7</f>
        <v>3</v>
      </c>
    </row>
    <row r="50" customFormat="false" ht="15" hidden="false" customHeight="false" outlineLevel="0" collapsed="false">
      <c r="A50" s="58" t="s">
        <v>354</v>
      </c>
      <c r="B50" s="56" t="s">
        <v>97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742</v>
      </c>
      <c r="B51" s="56" t="s">
        <v>93</v>
      </c>
      <c r="C51" s="107" t="n">
        <f aca="false">INDEX(Calib!$C$72:$G$72,Perf!C$6)*Perf_Prod!C50</f>
        <v>0.127435573521981</v>
      </c>
      <c r="D51" s="107" t="n">
        <f aca="false">INDEX(Calib!$C$72:$G$72,Perf!D$6)*Perf_Prod!D50</f>
        <v>0.127435573521981</v>
      </c>
      <c r="E51" s="107" t="n">
        <f aca="false">INDEX(Calib!$C$72:$G$72,Perf!E$6)*Perf_Prod!E50</f>
        <v>0.127435573521981</v>
      </c>
      <c r="F51" s="107" t="n">
        <f aca="false">INDEX(Calib!$C$72:$G$72,Perf!F$6)*Perf_Prod!F50</f>
        <v>0.255</v>
      </c>
      <c r="G51" s="107" t="n">
        <f aca="false">INDEX(Calib!$C$72:$G$72,Perf!G$6)*Perf_Prod!G50</f>
        <v>0.255</v>
      </c>
      <c r="H51" s="107" t="n">
        <f aca="false">INDEX(Calib!$C$72:$G$72,Perf!H$6)*Perf_Prod!H50</f>
        <v>0.255</v>
      </c>
      <c r="I51" s="107" t="n">
        <f aca="false">INDEX(Calib!$C$72:$G$72,Perf!I$6)*Perf_Prod!I50</f>
        <v>0.255</v>
      </c>
      <c r="J51" s="107" t="n">
        <f aca="false">INDEX(Calib!$C$72:$G$72,Perf!J$6)*Perf_Prod!J50</f>
        <v>0.255</v>
      </c>
      <c r="K51" s="107" t="n">
        <f aca="false">INDEX(Calib!$C$72:$G$72,Perf!K$6)*Perf_Prod!K50</f>
        <v>0.255</v>
      </c>
      <c r="L51" s="107" t="n">
        <f aca="false">INDEX(Calib!$C$72:$G$72,Perf!L$6)*Perf_Prod!L50</f>
        <v>0.255</v>
      </c>
      <c r="M51" s="107" t="n">
        <f aca="false">INDEX(Calib!$C$72:$G$72,Perf!M$6)*Perf_Prod!M50</f>
        <v>0.255</v>
      </c>
      <c r="N51" s="107" t="n">
        <f aca="false">INDEX(Calib!$C$72:$G$72,Perf!N$6)*Perf_Prod!N50</f>
        <v>0.255</v>
      </c>
      <c r="O51" s="107" t="n">
        <f aca="false">INDEX(Calib!$C$72:$G$72,Perf!O$6)*Perf_Prod!O50</f>
        <v>0.255</v>
      </c>
      <c r="P51" s="107" t="n">
        <f aca="false">INDEX(Calib!$C$72:$G$72,Perf!P$6)*Perf_Prod!P50</f>
        <v>0.255</v>
      </c>
      <c r="Q51" s="107" t="n">
        <f aca="false">INDEX(Calib!$C$72:$G$72,Perf!Q$6)*Perf_Prod!Q50</f>
        <v>0.255</v>
      </c>
      <c r="S51" s="107" t="n">
        <f aca="false">INDEX(Calib!$C$72:$G$72,Perf!C$6)*Perf_Prod!S50</f>
        <v>0.149924204143507</v>
      </c>
      <c r="T51" s="107" t="n">
        <f aca="false">INDEX(Calib!$C$72:$G$72,Perf!D$6)*Perf_Prod!T50</f>
        <v>0.149924204143507</v>
      </c>
      <c r="U51" s="107" t="n">
        <f aca="false">INDEX(Calib!$C$72:$G$72,Perf!E$6)*Perf_Prod!U50</f>
        <v>0.149924204143507</v>
      </c>
      <c r="V51" s="107" t="n">
        <f aca="false">INDEX(Calib!$C$72:$G$72,Perf!F$6)*Perf_Prod!V50</f>
        <v>0.3</v>
      </c>
      <c r="W51" s="107" t="n">
        <f aca="false">INDEX(Calib!$C$72:$G$72,Perf!G$6)*Perf_Prod!W50</f>
        <v>0.3</v>
      </c>
      <c r="X51" s="107" t="n">
        <f aca="false">INDEX(Calib!$C$72:$G$72,Perf!H$6)*Perf_Prod!X50</f>
        <v>0.3</v>
      </c>
      <c r="Y51" s="107" t="n">
        <f aca="false">INDEX(Calib!$C$72:$G$72,Perf!I$6)*Perf_Prod!Y50</f>
        <v>0.3</v>
      </c>
      <c r="Z51" s="107" t="n">
        <f aca="false">INDEX(Calib!$C$72:$G$72,Perf!J$6)*Perf_Prod!Z50</f>
        <v>0.3</v>
      </c>
      <c r="AA51" s="107" t="n">
        <f aca="false">INDEX(Calib!$C$72:$G$72,Perf!K$6)*Perf_Prod!AA50</f>
        <v>0.3</v>
      </c>
      <c r="AB51" s="107" t="n">
        <f aca="false">INDEX(Calib!$C$72:$G$72,Perf!L$6)*Perf_Prod!AB50</f>
        <v>0.3</v>
      </c>
      <c r="AC51" s="107" t="n">
        <f aca="false">INDEX(Calib!$C$72:$G$72,Perf!M$6)*Perf_Prod!AC50</f>
        <v>0.3</v>
      </c>
      <c r="AD51" s="107" t="n">
        <f aca="false">INDEX(Calib!$C$72:$G$72,Perf!N$6)*Perf_Prod!AD50</f>
        <v>0.3</v>
      </c>
      <c r="AE51" s="107" t="n">
        <f aca="false">INDEX(Calib!$C$72:$G$72,Perf!O$6)*Perf_Prod!AE50</f>
        <v>0.3</v>
      </c>
      <c r="AF51" s="107" t="n">
        <f aca="false">INDEX(Calib!$C$72:$G$72,Perf!P$6)*Perf_Prod!AF50</f>
        <v>0.3</v>
      </c>
      <c r="AG51" s="107" t="n">
        <f aca="false">INDEX(Calib!$C$72:$G$72,Perf!Q$6)*Perf_Prod!AG50</f>
        <v>0.3</v>
      </c>
    </row>
    <row r="53" customFormat="false" ht="15" hidden="false" customHeight="false" outlineLevel="0" collapsed="false">
      <c r="A53" s="59" t="s">
        <v>744</v>
      </c>
      <c r="B53" s="56" t="s">
        <v>93</v>
      </c>
      <c r="C53" s="108" t="n">
        <f aca="false">INDEX(Calib!$C$70:$G$70,Perf!C$6)*Perf!C52*Perf_Prod!C50</f>
        <v>0.0455876677123516</v>
      </c>
      <c r="D53" s="108" t="n">
        <f aca="false">INDEX(Calib!$C$70:$G$70,Perf!D$6)*Perf!D52*Perf_Prod!D50</f>
        <v>0.0455876677123516</v>
      </c>
      <c r="E53" s="108" t="n">
        <f aca="false">INDEX(Calib!$C$70:$G$70,Perf!E$6)*Perf!E52*Perf_Prod!E50</f>
        <v>0.0455876677123516</v>
      </c>
      <c r="F53" s="108" t="n">
        <f aca="false">INDEX(Calib!$C$70:$G$70,Perf!F$6)*Perf!F52*Perf_Prod!F50</f>
        <v>0.0303917784749011</v>
      </c>
      <c r="G53" s="108" t="n">
        <f aca="false">INDEX(Calib!$C$70:$G$70,Perf!G$6)*Perf!G52*Perf_Prod!G50</f>
        <v>0.0303917784749011</v>
      </c>
      <c r="H53" s="108" t="n">
        <f aca="false">INDEX(Calib!$C$70:$G$70,Perf!H$6)*Perf!H52*Perf_Prod!H50</f>
        <v>0.0303917784749011</v>
      </c>
      <c r="I53" s="108" t="n">
        <f aca="false">INDEX(Calib!$C$70:$G$70,Perf!I$6)*Perf!I52*Perf_Prod!I50</f>
        <v>0.0303917784749011</v>
      </c>
      <c r="J53" s="108" t="n">
        <f aca="false">INDEX(Calib!$C$70:$G$70,Perf!J$6)*Perf!J52*Perf_Prod!J50</f>
        <v>0.0303917784749011</v>
      </c>
      <c r="K53" s="108" t="n">
        <f aca="false">INDEX(Calib!$C$70:$G$70,Perf!K$6)*Perf!K52*Perf_Prod!K50</f>
        <v>0.0303917784749011</v>
      </c>
      <c r="L53" s="108" t="n">
        <f aca="false">INDEX(Calib!$C$70:$G$70,Perf!L$6)*Perf!L52*Perf_Prod!L50</f>
        <v>0.0303917784749011</v>
      </c>
      <c r="M53" s="108" t="n">
        <f aca="false">INDEX(Calib!$C$70:$G$70,Perf!M$6)*Perf!M52*Perf_Prod!M50</f>
        <v>0.0303917784749011</v>
      </c>
      <c r="N53" s="108" t="n">
        <f aca="false">INDEX(Calib!$C$70:$G$70,Perf!N$6)*Perf!N52*Perf_Prod!N50</f>
        <v>0.0303917784749011</v>
      </c>
      <c r="O53" s="108" t="n">
        <f aca="false">INDEX(Calib!$C$70:$G$70,Perf!O$6)*Perf!O52*Perf_Prod!O50</f>
        <v>0.0303917784749011</v>
      </c>
      <c r="P53" s="108" t="n">
        <f aca="false">INDEX(Calib!$C$70:$G$70,Perf!P$6)*Perf!P52*Perf_Prod!P50</f>
        <v>0.0303917784749011</v>
      </c>
      <c r="Q53" s="108" t="n">
        <f aca="false">INDEX(Calib!$C$70:$G$70,Perf!Q$6)*Perf!Q52*Perf_Prod!Q50</f>
        <v>0.0303917784749011</v>
      </c>
      <c r="S53" s="108" t="n">
        <f aca="false">INDEX(Calib!$C$70:$G$70,Perf!C$6)*Perf!C52*Perf_Prod!S50</f>
        <v>0.0536325502498254</v>
      </c>
      <c r="T53" s="108" t="n">
        <f aca="false">INDEX(Calib!$C$70:$G$70,Perf!D$6)*Perf!D52*Perf_Prod!T50</f>
        <v>0.0536325502498254</v>
      </c>
      <c r="U53" s="108" t="n">
        <f aca="false">INDEX(Calib!$C$70:$G$70,Perf!E$6)*Perf!E52*Perf_Prod!U50</f>
        <v>0.0536325502498254</v>
      </c>
      <c r="V53" s="108" t="n">
        <f aca="false">INDEX(Calib!$C$70:$G$70,Perf!F$6)*Perf!F52*Perf_Prod!V50</f>
        <v>0.0357550334998836</v>
      </c>
      <c r="W53" s="108" t="n">
        <f aca="false">INDEX(Calib!$C$70:$G$70,Perf!G$6)*Perf!G52*Perf_Prod!W50</f>
        <v>0.0357550334998836</v>
      </c>
      <c r="X53" s="108" t="n">
        <f aca="false">INDEX(Calib!$C$70:$G$70,Perf!H$6)*Perf!H52*Perf_Prod!X50</f>
        <v>0.0357550334998836</v>
      </c>
      <c r="Y53" s="108" t="n">
        <f aca="false">INDEX(Calib!$C$70:$G$70,Perf!I$6)*Perf!I52*Perf_Prod!Y50</f>
        <v>0.0357550334998836</v>
      </c>
      <c r="Z53" s="108" t="n">
        <f aca="false">INDEX(Calib!$C$70:$G$70,Perf!J$6)*Perf!J52*Perf_Prod!Z50</f>
        <v>0.0357550334998836</v>
      </c>
      <c r="AA53" s="108" t="n">
        <f aca="false">INDEX(Calib!$C$70:$G$70,Perf!K$6)*Perf!K52*Perf_Prod!AA50</f>
        <v>0.0357550334998836</v>
      </c>
      <c r="AB53" s="108" t="n">
        <f aca="false">INDEX(Calib!$C$70:$G$70,Perf!L$6)*Perf!L52*Perf_Prod!AB50</f>
        <v>0.0357550334998836</v>
      </c>
      <c r="AC53" s="108" t="n">
        <f aca="false">INDEX(Calib!$C$70:$G$70,Perf!M$6)*Perf!M52*Perf_Prod!AC50</f>
        <v>0.0357550334998836</v>
      </c>
      <c r="AD53" s="108" t="n">
        <f aca="false">INDEX(Calib!$C$70:$G$70,Perf!N$6)*Perf!N52*Perf_Prod!AD50</f>
        <v>0.0357550334998836</v>
      </c>
      <c r="AE53" s="108" t="n">
        <f aca="false">INDEX(Calib!$C$70:$G$70,Perf!O$6)*Perf!O52*Perf_Prod!AE50</f>
        <v>0.0357550334998836</v>
      </c>
      <c r="AF53" s="108" t="n">
        <f aca="false">INDEX(Calib!$C$70:$G$70,Perf!P$6)*Perf!P52*Perf_Prod!AF50</f>
        <v>0.0357550334998836</v>
      </c>
      <c r="AG53" s="108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746</v>
      </c>
      <c r="B55" s="56" t="s">
        <v>502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9" t="s">
        <v>762</v>
      </c>
      <c r="B75" s="56" t="s">
        <v>359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8" t="s">
        <v>766</v>
      </c>
      <c r="B79" s="56" t="s">
        <v>492</v>
      </c>
      <c r="C79" s="93" t="n">
        <f aca="false">Perf!C72/Perf!C16+(Perf!C29+Perf!C47)*Perf_Prod!C55/1000</f>
        <v>15.9993635766828</v>
      </c>
      <c r="D79" s="93" t="n">
        <f aca="false">Perf!D72/Perf!D16+(Perf!D29+Perf!D47)*Perf_Prod!D55/1000</f>
        <v>28.5991030950805</v>
      </c>
      <c r="E79" s="93" t="n">
        <f aca="false">Perf!E72/Perf!E16+(Perf!E29+Perf!E47)*Perf_Prod!E55/1000</f>
        <v>41.5061799059401</v>
      </c>
      <c r="F79" s="93" t="n">
        <f aca="false">Perf!F72/Perf!F16+(Perf!F29+Perf!F47)*Perf_Prod!F55/1000</f>
        <v>10.0116030761141</v>
      </c>
      <c r="G79" s="93" t="n">
        <f aca="false">Perf!G72/Perf!G16+(Perf!G29+Perf!G47)*Perf_Prod!G55/1000</f>
        <v>18.1420993705793</v>
      </c>
      <c r="H79" s="93" t="n">
        <f aca="false">Perf!H72/Perf!H16+(Perf!H29+Perf!H47)*Perf_Prod!H55/1000</f>
        <v>30.769482681035</v>
      </c>
      <c r="I79" s="93" t="n">
        <f aca="false">Perf!I72/Perf!I16+(Perf!I29+Perf!I47)*Perf_Prod!I55/1000</f>
        <v>10.0116030761141</v>
      </c>
      <c r="J79" s="93" t="n">
        <f aca="false">Perf!J72/Perf!J16+(Perf!J29+Perf!J47)*Perf_Prod!J55/1000</f>
        <v>18.1420993705793</v>
      </c>
      <c r="K79" s="93" t="n">
        <f aca="false">Perf!K72/Perf!K16+(Perf!K29+Perf!K47)*Perf_Prod!K55/1000</f>
        <v>34.3471799716763</v>
      </c>
      <c r="L79" s="93" t="n">
        <f aca="false">Perf!L72/Perf!L16+(Perf!L29+Perf!L47)*Perf_Prod!L55/1000</f>
        <v>9.19156463506294</v>
      </c>
      <c r="M79" s="93" t="n">
        <f aca="false">Perf!M72/Perf!M16+(Perf!M29+Perf!M47)*Perf_Prod!M55/1000</f>
        <v>14.3202320153868</v>
      </c>
      <c r="N79" s="93" t="n">
        <f aca="false">Perf!N72/Perf!N16+(Perf!N29+Perf!N47)*Perf_Prod!N55/1000</f>
        <v>24.9192556896359</v>
      </c>
      <c r="O79" s="93" t="n">
        <f aca="false">Perf!O72/Perf!O16+(Perf!O29+Perf!O47)*Perf_Prod!O55/1000</f>
        <v>8.96861271966877</v>
      </c>
      <c r="P79" s="93" t="n">
        <f aca="false">Perf!P72/Perf!P16+(Perf!P29+Perf!P47)*Perf_Prod!P55/1000</f>
        <v>13.2038720349673</v>
      </c>
      <c r="Q79" s="93" t="n">
        <f aca="false">Perf!Q72/Perf!Q16+(Perf!Q29+Perf!Q47)*Perf_Prod!Q55/1000</f>
        <v>22.1505431564514</v>
      </c>
      <c r="S79" s="93" t="n">
        <f aca="false">Perf!C72/Perf!C16+(Perf!C29+Perf!C47)*Perf_Prod!S55/1000</f>
        <v>14.0366950476431</v>
      </c>
      <c r="T79" s="93" t="n">
        <f aca="false">Perf!D72/Perf!D16+(Perf!D29+Perf!D47)*Perf_Prod!T55/1000</f>
        <v>25.8684338372861</v>
      </c>
      <c r="U79" s="93" t="n">
        <f aca="false">Perf!E72/Perf!E16+(Perf!E29+Perf!E47)*Perf_Prod!U55/1000</f>
        <v>37.1115090691772</v>
      </c>
      <c r="V79" s="93" t="n">
        <f aca="false">Perf!F72/Perf!F16+(Perf!F29+Perf!F47)*Perf_Prod!V55/1000</f>
        <v>8.70315739008759</v>
      </c>
      <c r="W79" s="93" t="n">
        <f aca="false">Perf!G72/Perf!G16+(Perf!G29+Perf!G47)*Perf_Prod!W55/1000</f>
        <v>16.3216531987164</v>
      </c>
      <c r="X79" s="93" t="n">
        <f aca="false">Perf!H72/Perf!H16+(Perf!H29+Perf!H47)*Perf_Prod!X55/1000</f>
        <v>27.8397021231931</v>
      </c>
      <c r="Y79" s="93" t="n">
        <f aca="false">Perf!I72/Perf!I16+(Perf!I29+Perf!I47)*Perf_Prod!Y55/1000</f>
        <v>8.70315739008759</v>
      </c>
      <c r="Z79" s="93" t="n">
        <f aca="false">Perf!J72/Perf!J16+(Perf!J29+Perf!J47)*Perf_Prod!Z55/1000</f>
        <v>16.3216531987164</v>
      </c>
      <c r="AA79" s="93" t="n">
        <f aca="false">Perf!K72/Perf!K16+(Perf!K29+Perf!K47)*Perf_Prod!AA55/1000</f>
        <v>31.4173994138344</v>
      </c>
      <c r="AB79" s="93" t="n">
        <f aca="false">Perf!L72/Perf!L16+(Perf!L29+Perf!L47)*Perf_Prod!AB55/1000</f>
        <v>7.88311894903646</v>
      </c>
      <c r="AC79" s="93" t="n">
        <f aca="false">Perf!M72/Perf!M16+(Perf!M29+Perf!M47)*Perf_Prod!AC55/1000</f>
        <v>12.4997858435238</v>
      </c>
      <c r="AD79" s="93" t="n">
        <f aca="false">Perf!N72/Perf!N16+(Perf!N29+Perf!N47)*Perf_Prod!AD55/1000</f>
        <v>21.989475131794</v>
      </c>
      <c r="AE79" s="93" t="n">
        <f aca="false">Perf!O72/Perf!O16+(Perf!O29+Perf!O47)*Perf_Prod!AE55/1000</f>
        <v>7.66016703364228</v>
      </c>
      <c r="AF79" s="93" t="n">
        <f aca="false">Perf!P72/Perf!P16+(Perf!P29+Perf!P47)*Perf_Prod!AF55/1000</f>
        <v>11.3834258631044</v>
      </c>
      <c r="AG79" s="93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767</v>
      </c>
      <c r="B80" s="56" t="s">
        <v>492</v>
      </c>
      <c r="C80" s="94" t="n">
        <f aca="false">(Perf!C47+1)*Perf!C65/(Perf!C14*Perf_Prod!C53)/1000</f>
        <v>1.71709418958567</v>
      </c>
      <c r="D80" s="94" t="n">
        <f aca="false">(Perf!D47+1)*Perf!D65/(Perf!D14*Perf_Prod!D53)/1000</f>
        <v>5.91353120369626</v>
      </c>
      <c r="E80" s="94" t="n">
        <f aca="false">(Perf!E47+1)*Perf!E65/(Perf!E14*Perf_Prod!E53)/1000</f>
        <v>23.5486326964434</v>
      </c>
      <c r="F80" s="94" t="n">
        <f aca="false">(Perf!F47+1)*Perf!F65/(Perf!F14*Perf_Prod!F53)/1000</f>
        <v>0.509719410178506</v>
      </c>
      <c r="G80" s="94" t="n">
        <f aca="false">(Perf!G47+1)*Perf!G65/(Perf!G14*Perf_Prod!G53)/1000</f>
        <v>1.75543173781723</v>
      </c>
      <c r="H80" s="94" t="n">
        <f aca="false">(Perf!H47+1)*Perf!H65/(Perf!H14*Perf_Prod!H53)/1000</f>
        <v>6.99041161593922</v>
      </c>
      <c r="I80" s="94" t="n">
        <f aca="false">(Perf!I47+1)*Perf!I65/(Perf!I14*Perf_Prod!I53)/1000</f>
        <v>0.339812940119004</v>
      </c>
      <c r="J80" s="94" t="n">
        <f aca="false">(Perf!J47+1)*Perf!J65/(Perf!J14*Perf_Prod!J53)/1000</f>
        <v>1.17028782521149</v>
      </c>
      <c r="K80" s="94" t="n">
        <f aca="false">(Perf!K47+1)*Perf!K65/(Perf!K14*Perf_Prod!K53)/1000</f>
        <v>4.66027441062615</v>
      </c>
      <c r="L80" s="94" t="n">
        <f aca="false">(Perf!L47+1)*Perf!L65/(Perf!L14*Perf_Prod!L53)/1000</f>
        <v>0.145634117193859</v>
      </c>
      <c r="M80" s="94" t="n">
        <f aca="false">(Perf!M47+1)*Perf!M65/(Perf!M14*Perf_Prod!M53)/1000</f>
        <v>0.501551925090638</v>
      </c>
      <c r="N80" s="94" t="n">
        <f aca="false">(Perf!N47+1)*Perf!N65/(Perf!N14*Perf_Prod!N53)/1000</f>
        <v>1.99726046169692</v>
      </c>
      <c r="O80" s="94" t="n">
        <f aca="false">(Perf!O47+1)*Perf!O65/(Perf!O14*Perf_Prod!O53)/1000</f>
        <v>0.0728170585969295</v>
      </c>
      <c r="P80" s="94" t="n">
        <f aca="false">(Perf!P47+1)*Perf!P65/(Perf!P14*Perf_Prod!P53)/1000</f>
        <v>0.250775962545319</v>
      </c>
      <c r="Q80" s="94" t="n">
        <f aca="false">(Perf!Q47+1)*Perf!Q65/(Perf!Q14*Perf_Prod!Q53)/1000</f>
        <v>0.99863023084846</v>
      </c>
      <c r="S80" s="94" t="n">
        <f aca="false">(Perf!C47+1)*Perf!C65/(Perf!C14*Perf_Prod!S53)/1000</f>
        <v>1.45953006114782</v>
      </c>
      <c r="T80" s="94" t="n">
        <f aca="false">(Perf!D47+1)*Perf!D65/(Perf!D14*Perf_Prod!T53)/1000</f>
        <v>5.02650152314182</v>
      </c>
      <c r="U80" s="94" t="n">
        <f aca="false">(Perf!E47+1)*Perf!E65/(Perf!E14*Perf_Prod!U53)/1000</f>
        <v>20.0163377919769</v>
      </c>
      <c r="V80" s="94" t="n">
        <f aca="false">(Perf!F47+1)*Perf!F65/(Perf!F14*Perf_Prod!V53)/1000</f>
        <v>0.43326149865173</v>
      </c>
      <c r="W80" s="94" t="n">
        <f aca="false">(Perf!G47+1)*Perf!G65/(Perf!G14*Perf_Prod!W53)/1000</f>
        <v>1.49211697714465</v>
      </c>
      <c r="X80" s="94" t="n">
        <f aca="false">(Perf!H47+1)*Perf!H65/(Perf!H14*Perf_Prod!X53)/1000</f>
        <v>5.94184987354833</v>
      </c>
      <c r="Y80" s="94" t="n">
        <f aca="false">(Perf!I47+1)*Perf!I65/(Perf!I14*Perf_Prod!Y53)/1000</f>
        <v>0.288840999101154</v>
      </c>
      <c r="Z80" s="94" t="n">
        <f aca="false">(Perf!J47+1)*Perf!J65/(Perf!J14*Perf_Prod!Z53)/1000</f>
        <v>0.994744651429766</v>
      </c>
      <c r="AA80" s="94" t="n">
        <f aca="false">(Perf!K47+1)*Perf!K65/(Perf!K14*Perf_Prod!AA53)/1000</f>
        <v>3.96123324903222</v>
      </c>
      <c r="AB80" s="94" t="n">
        <f aca="false">(Perf!L47+1)*Perf!L65/(Perf!L14*Perf_Prod!AB53)/1000</f>
        <v>0.12378899961478</v>
      </c>
      <c r="AC80" s="94" t="n">
        <f aca="false">(Perf!M47+1)*Perf!M65/(Perf!M14*Perf_Prod!AC53)/1000</f>
        <v>0.426319136327043</v>
      </c>
      <c r="AD80" s="94" t="n">
        <f aca="false">(Perf!N47+1)*Perf!N65/(Perf!N14*Perf_Prod!AD53)/1000</f>
        <v>1.69767139244238</v>
      </c>
      <c r="AE80" s="94" t="n">
        <f aca="false">(Perf!O47+1)*Perf!O65/(Perf!O14*Perf_Prod!AE53)/1000</f>
        <v>0.06189449980739</v>
      </c>
      <c r="AF80" s="94" t="n">
        <f aca="false">(Perf!P47+1)*Perf!P65/(Perf!P14*Perf_Prod!AF53)/1000</f>
        <v>0.213159568163521</v>
      </c>
      <c r="AG80" s="94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770</v>
      </c>
      <c r="B83" s="56" t="s">
        <v>492</v>
      </c>
      <c r="C83" s="94" t="n">
        <f aca="false">MAX(Perf_Prod!C80,Perf!C81,Perf!C82)</f>
        <v>1.71709418958567</v>
      </c>
      <c r="D83" s="94" t="n">
        <f aca="false">MAX(Perf_Prod!D80,Perf!D81,Perf!D82)</f>
        <v>5.91353120369626</v>
      </c>
      <c r="E83" s="94" t="n">
        <f aca="false">MAX(Perf_Prod!E80,Perf!E81,Perf!E82)</f>
        <v>23.5486326964434</v>
      </c>
      <c r="F83" s="94" t="n">
        <f aca="false">MAX(Perf_Prod!F80,Perf!F81,Perf!F82)</f>
        <v>0.509719410178506</v>
      </c>
      <c r="G83" s="94" t="n">
        <f aca="false">MAX(Perf_Prod!G80,Perf!G81,Perf!G82)</f>
        <v>1.75543173781723</v>
      </c>
      <c r="H83" s="94" t="n">
        <f aca="false">MAX(Perf_Prod!H80,Perf!H81,Perf!H82)</f>
        <v>6.99041161593922</v>
      </c>
      <c r="I83" s="94" t="n">
        <f aca="false">MAX(Perf_Prod!I80,Perf!I81,Perf!I82)</f>
        <v>0.339812940119004</v>
      </c>
      <c r="J83" s="94" t="n">
        <f aca="false">MAX(Perf_Prod!J80,Perf!J81,Perf!J82)</f>
        <v>1.17028782521149</v>
      </c>
      <c r="K83" s="94" t="n">
        <f aca="false">MAX(Perf_Prod!K80,Perf!K81,Perf!K82)</f>
        <v>4.66027441062615</v>
      </c>
      <c r="L83" s="94" t="n">
        <f aca="false">MAX(Perf_Prod!L80,Perf!L81,Perf!L82)</f>
        <v>0.145634117193859</v>
      </c>
      <c r="M83" s="94" t="n">
        <f aca="false">MAX(Perf_Prod!M80,Perf!M81,Perf!M82)</f>
        <v>0.501551925090638</v>
      </c>
      <c r="N83" s="94" t="n">
        <f aca="false">MAX(Perf_Prod!N80,Perf!N81,Perf!N82)</f>
        <v>1.99726046169692</v>
      </c>
      <c r="O83" s="94" t="n">
        <f aca="false">MAX(Perf_Prod!O80,Perf!O81,Perf!O82)</f>
        <v>0.0728170585969295</v>
      </c>
      <c r="P83" s="94" t="n">
        <f aca="false">MAX(Perf_Prod!P80,Perf!P81,Perf!P82)</f>
        <v>0.250775962545319</v>
      </c>
      <c r="Q83" s="94" t="n">
        <f aca="false">MAX(Perf_Prod!Q80,Perf!Q81,Perf!Q82)</f>
        <v>0.99863023084846</v>
      </c>
      <c r="S83" s="94" t="n">
        <f aca="false">MAX(Perf_Prod!S80,Perf!C81,Perf!C82)</f>
        <v>1.45953006114782</v>
      </c>
      <c r="T83" s="94" t="n">
        <f aca="false">MAX(Perf_Prod!T80,Perf!D81,Perf!D82)</f>
        <v>5.02650152314182</v>
      </c>
      <c r="U83" s="94" t="n">
        <f aca="false">MAX(Perf_Prod!U80,Perf!E81,Perf!E82)</f>
        <v>20.0163377919769</v>
      </c>
      <c r="V83" s="94" t="n">
        <f aca="false">MAX(Perf_Prod!V80,Perf!F81,Perf!F82)</f>
        <v>0.43326149865173</v>
      </c>
      <c r="W83" s="94" t="n">
        <f aca="false">MAX(Perf_Prod!W80,Perf!G81,Perf!G82)</f>
        <v>1.49211697714465</v>
      </c>
      <c r="X83" s="94" t="n">
        <f aca="false">MAX(Perf_Prod!X80,Perf!H81,Perf!H82)</f>
        <v>5.94184987354833</v>
      </c>
      <c r="Y83" s="94" t="n">
        <f aca="false">MAX(Perf_Prod!Y80,Perf!I81,Perf!I82)</f>
        <v>0.288840999101154</v>
      </c>
      <c r="Z83" s="94" t="n">
        <f aca="false">MAX(Perf_Prod!Z80,Perf!J81,Perf!J82)</f>
        <v>0.994744651429766</v>
      </c>
      <c r="AA83" s="94" t="n">
        <f aca="false">MAX(Perf_Prod!AA80,Perf!K81,Perf!K82)</f>
        <v>3.96123324903222</v>
      </c>
      <c r="AB83" s="94" t="n">
        <f aca="false">MAX(Perf_Prod!AB80,Perf!L81,Perf!L82)</f>
        <v>0.12378899961478</v>
      </c>
      <c r="AC83" s="94" t="n">
        <f aca="false">MAX(Perf_Prod!AC80,Perf!M81,Perf!M82)</f>
        <v>0.426319136327043</v>
      </c>
      <c r="AD83" s="94" t="n">
        <f aca="false">MAX(Perf_Prod!AD80,Perf!N81,Perf!N82)</f>
        <v>1.69767139244238</v>
      </c>
      <c r="AE83" s="94" t="n">
        <f aca="false">MAX(Perf_Prod!AE80,Perf!O81,Perf!O82)</f>
        <v>0.06189449980739</v>
      </c>
      <c r="AF83" s="94" t="n">
        <f aca="false">MAX(Perf_Prod!AF80,Perf!P81,Perf!P82)</f>
        <v>0.213159568163521</v>
      </c>
      <c r="AG83" s="94" t="n">
        <f aca="false">MAX(Perf_Prod!AG80,Perf!Q81,Perf!Q82)</f>
        <v>0.848835696221191</v>
      </c>
    </row>
    <row r="85" customFormat="false" ht="15" hidden="false" customHeight="false" outlineLevel="0" collapsed="false">
      <c r="A85" s="59" t="s">
        <v>772</v>
      </c>
      <c r="B85" s="71" t="s">
        <v>2320</v>
      </c>
      <c r="C85" s="96" t="n">
        <f aca="false">(1000*Perf!C49/Perf!C41-Perf_Prod!C79)/Perf_Prod!C83</f>
        <v>2.97535789686839</v>
      </c>
      <c r="D85" s="96" t="n">
        <f aca="false">(1000*Perf!D49/Perf!D41-Perf_Prod!D79)/Perf_Prod!D83</f>
        <v>1.75362694757888</v>
      </c>
      <c r="E85" s="96" t="n">
        <f aca="false">(1000*Perf!E49/Perf!E41-Perf_Prod!E79)/Perf_Prod!E83</f>
        <v>0.193147755423284</v>
      </c>
      <c r="F85" s="96" t="n">
        <f aca="false">(1000*Perf!F49/Perf!F41-Perf_Prod!F79)/Perf_Prod!F83</f>
        <v>21.7702721058496</v>
      </c>
      <c r="G85" s="96" t="n">
        <f aca="false">(1000*Perf!G49/Perf!G41-Perf_Prod!G79)/Perf_Prod!G83</f>
        <v>11.8643926448252</v>
      </c>
      <c r="H85" s="96" t="n">
        <f aca="false">(1000*Perf!H49/Perf!H41-Perf_Prod!H79)/Perf_Prod!H83</f>
        <v>2.18657549988304</v>
      </c>
      <c r="I85" s="96" t="n">
        <f aca="false">(1000*Perf!I49/Perf!I41-Perf_Prod!I79)/Perf_Prod!I83</f>
        <v>32.6554081587744</v>
      </c>
      <c r="J85" s="96" t="n">
        <f aca="false">(1000*Perf!J49/Perf!J41-Perf_Prod!J79)/Perf_Prod!J83</f>
        <v>17.7965889672378</v>
      </c>
      <c r="K85" s="96" t="n">
        <f aca="false">(1000*Perf!K49/Perf!K41-Perf_Prod!K79)/Perf_Prod!K83</f>
        <v>2.5121622572642</v>
      </c>
      <c r="L85" s="96" t="n">
        <f aca="false">(1000*Perf!L49/Perf!L41-Perf_Prod!L79)/Perf_Prod!L83</f>
        <v>81.8267651007047</v>
      </c>
      <c r="M85" s="96" t="n">
        <f aca="false">(1000*Perf!M49/Perf!M41-Perf_Prod!M79)/Perf_Prod!M83</f>
        <v>49.1454573709184</v>
      </c>
      <c r="N85" s="96" t="n">
        <f aca="false">(1000*Perf!N49/Perf!N41-Perf_Prod!N79)/Perf_Prod!N83</f>
        <v>10.5821399713448</v>
      </c>
      <c r="O85" s="96" t="n">
        <f aca="false">(1000*Perf!O49/Perf!O41-Perf_Prod!O79)/Perf_Prod!O83</f>
        <v>166.715339064471</v>
      </c>
      <c r="P85" s="96" t="n">
        <f aca="false">(1000*Perf!P49/Perf!P41-Perf_Prod!P79)/Perf_Prod!P83</f>
        <v>102.74253749343</v>
      </c>
      <c r="Q85" s="96" t="n">
        <f aca="false">(1000*Perf!Q49/Perf!Q41-Perf_Prod!Q79)/Perf_Prod!Q83</f>
        <v>23.9367901748625</v>
      </c>
      <c r="S85" s="96" t="n">
        <f aca="false">(1000*Perf!C49/Perf!C41-Perf_Prod!S79)/Perf_Prod!S83</f>
        <v>4.8451474032189</v>
      </c>
      <c r="T85" s="96" t="n">
        <f aca="false">(1000*Perf!D49/Perf!D41-Perf_Prod!T79)/Perf_Prod!T83</f>
        <v>2.60634496411254</v>
      </c>
      <c r="U85" s="96" t="n">
        <f aca="false">(1000*Perf!E49/Perf!E41-Perf_Prod!U79)/Perf_Prod!U83</f>
        <v>0.44678684374286</v>
      </c>
      <c r="V85" s="96" t="n">
        <f aca="false">(1000*Perf!F49/Perf!F41-Perf_Prod!V79)/Perf_Prod!V83</f>
        <v>28.6320755060154</v>
      </c>
      <c r="W85" s="96" t="n">
        <f aca="false">(1000*Perf!G49/Perf!G41-Perf_Prod!W79)/Perf_Prod!W83</f>
        <v>15.1781515239196</v>
      </c>
      <c r="X85" s="96" t="n">
        <f aca="false">(1000*Perf!H49/Perf!H41-Perf_Prod!X79)/Perf_Prod!X83</f>
        <v>3.0655172579234</v>
      </c>
      <c r="Y85" s="96" t="n">
        <f aca="false">(1000*Perf!I49/Perf!I41-Perf_Prod!Y79)/Perf_Prod!Y83</f>
        <v>42.9481132590231</v>
      </c>
      <c r="Z85" s="96" t="n">
        <f aca="false">(1000*Perf!J49/Perf!J41-Perf_Prod!Z79)/Perf_Prod!Z83</f>
        <v>22.7672272858794</v>
      </c>
      <c r="AA85" s="96" t="n">
        <f aca="false">(1000*Perf!K49/Perf!K41-Perf_Prod!AA79)/Perf_Prod!AA83</f>
        <v>3.6950982485788</v>
      </c>
      <c r="AB85" s="96" t="n">
        <f aca="false">(1000*Perf!L49/Perf!L41-Perf_Prod!AB79)/Perf_Prod!AB83</f>
        <v>106.836749836032</v>
      </c>
      <c r="AC85" s="96" t="n">
        <f aca="false">(1000*Perf!M49/Perf!M41-Perf_Prod!AC79)/Perf_Prod!AC83</f>
        <v>62.0883339972837</v>
      </c>
      <c r="AD85" s="96" t="n">
        <f aca="false">(1000*Perf!N49/Perf!N41-Perf_Prod!AD79)/Perf_Prod!AD83</f>
        <v>14.1753406636192</v>
      </c>
      <c r="AE85" s="96" t="n">
        <f aca="false">(1000*Perf!O49/Perf!O41-Perf_Prod!AE79)/Perf_Prod!AE83</f>
        <v>217.275627746254</v>
      </c>
      <c r="AF85" s="96" t="n">
        <f aca="false">(1000*Perf!P49/Perf!P41-Perf_Prod!AF79)/Perf_Prod!AF83</f>
        <v>129.413871231736</v>
      </c>
      <c r="AG85" s="96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774</v>
      </c>
      <c r="B87" s="71" t="s">
        <v>2320</v>
      </c>
      <c r="C87" s="159" t="n">
        <f aca="false">MAX(0,MIN(Perf_Prod!C85,Perf!C86))</f>
        <v>2.97535789686839</v>
      </c>
      <c r="D87" s="159" t="n">
        <f aca="false">MAX(0,MIN(Perf_Prod!D85,Perf!D86))</f>
        <v>1.75362694757888</v>
      </c>
      <c r="E87" s="159" t="n">
        <f aca="false">MAX(0,MIN(Perf_Prod!E85,Perf!E86))</f>
        <v>0.193147755423284</v>
      </c>
      <c r="F87" s="159" t="n">
        <f aca="false">MAX(0,MIN(Perf_Prod!F85,Perf!F86))</f>
        <v>21.7702721058496</v>
      </c>
      <c r="G87" s="159" t="n">
        <f aca="false">MAX(0,MIN(Perf_Prod!G85,Perf!G86))</f>
        <v>11.8643926448252</v>
      </c>
      <c r="H87" s="159" t="n">
        <f aca="false">MAX(0,MIN(Perf_Prod!H85,Perf!H86))</f>
        <v>2.18657549988304</v>
      </c>
      <c r="I87" s="159" t="n">
        <f aca="false">MAX(0,MIN(Perf_Prod!I85,Perf!I86))</f>
        <v>32.6554081587744</v>
      </c>
      <c r="J87" s="159" t="n">
        <f aca="false">MAX(0,MIN(Perf_Prod!J85,Perf!J86))</f>
        <v>17.7965889672378</v>
      </c>
      <c r="K87" s="159" t="n">
        <f aca="false">MAX(0,MIN(Perf_Prod!K85,Perf!K86))</f>
        <v>2.5121622572642</v>
      </c>
      <c r="L87" s="159" t="n">
        <f aca="false">MAX(0,MIN(Perf_Prod!L85,Perf!L86))</f>
        <v>81.8267651007047</v>
      </c>
      <c r="M87" s="159" t="n">
        <f aca="false">MAX(0,MIN(Perf_Prod!M85,Perf!M86))</f>
        <v>49.1454573709184</v>
      </c>
      <c r="N87" s="159" t="n">
        <f aca="false">MAX(0,MIN(Perf_Prod!N85,Perf!N86))</f>
        <v>10.5821399713448</v>
      </c>
      <c r="O87" s="159" t="n">
        <f aca="false">MAX(0,MIN(Perf_Prod!O85,Perf!O86))</f>
        <v>166.715339064471</v>
      </c>
      <c r="P87" s="159" t="n">
        <f aca="false">MAX(0,MIN(Perf_Prod!P85,Perf!P86))</f>
        <v>102.74253749343</v>
      </c>
      <c r="Q87" s="159" t="n">
        <f aca="false">MAX(0,MIN(Perf_Prod!Q85,Perf!Q86))</f>
        <v>23.9367901748625</v>
      </c>
      <c r="S87" s="159" t="n">
        <f aca="false">MAX(0,MIN(Perf_Prod!S85,Perf!C86))</f>
        <v>4.8451474032189</v>
      </c>
      <c r="T87" s="159" t="n">
        <f aca="false">MAX(0,MIN(Perf_Prod!T85,Perf!D86))</f>
        <v>2.60634496411254</v>
      </c>
      <c r="U87" s="159" t="n">
        <f aca="false">MAX(0,MIN(Perf_Prod!U85,Perf!E86))</f>
        <v>0.44678684374286</v>
      </c>
      <c r="V87" s="159" t="n">
        <f aca="false">MAX(0,MIN(Perf_Prod!V85,Perf!F86))</f>
        <v>28.6320755060154</v>
      </c>
      <c r="W87" s="159" t="n">
        <f aca="false">MAX(0,MIN(Perf_Prod!W85,Perf!G86))</f>
        <v>15.1781515239196</v>
      </c>
      <c r="X87" s="159" t="n">
        <f aca="false">MAX(0,MIN(Perf_Prod!X85,Perf!H86))</f>
        <v>3.0655172579234</v>
      </c>
      <c r="Y87" s="159" t="n">
        <f aca="false">MAX(0,MIN(Perf_Prod!Y85,Perf!I86))</f>
        <v>42.9481132590231</v>
      </c>
      <c r="Z87" s="159" t="n">
        <f aca="false">MAX(0,MIN(Perf_Prod!Z85,Perf!J86))</f>
        <v>22.7672272858794</v>
      </c>
      <c r="AA87" s="159" t="n">
        <f aca="false">MAX(0,MIN(Perf_Prod!AA85,Perf!K86))</f>
        <v>3.6950982485788</v>
      </c>
      <c r="AB87" s="159" t="n">
        <f aca="false">MAX(0,MIN(Perf_Prod!AB85,Perf!L86))</f>
        <v>106.836749836032</v>
      </c>
      <c r="AC87" s="159" t="n">
        <f aca="false">MAX(0,MIN(Perf_Prod!AC85,Perf!M86))</f>
        <v>62.0883339972837</v>
      </c>
      <c r="AD87" s="159" t="n">
        <f aca="false">MAX(0,MIN(Perf_Prod!AD85,Perf!N86))</f>
        <v>14.1753406636192</v>
      </c>
      <c r="AE87" s="159" t="n">
        <f aca="false">MAX(0,MIN(Perf_Prod!AE85,Perf!O86))</f>
        <v>217.275627746254</v>
      </c>
      <c r="AF87" s="159" t="n">
        <f aca="false">MAX(0,MIN(Perf_Prod!AF85,Perf!P86))</f>
        <v>129.413871231736</v>
      </c>
      <c r="AG87" s="159" t="n">
        <f aca="false">MAX(0,MIN(Perf_Prod!AG85,Perf!Q86))</f>
        <v>31.6124580709712</v>
      </c>
    </row>
    <row r="88" customFormat="false" ht="15" hidden="false" customHeight="false" outlineLevel="0" collapsed="false">
      <c r="A88" s="59" t="s">
        <v>775</v>
      </c>
      <c r="B88" s="56" t="s">
        <v>359</v>
      </c>
      <c r="C88" s="164" t="n">
        <f aca="false">IF(Perf_Prod!C87&gt;0,Perf_Prod!C87*Perf!C49/((Perf_Prod!C79+Perf_Prod!C87*Perf_Prod!C83)/1000),0)</f>
        <v>357.042947624207</v>
      </c>
      <c r="D88" s="164" t="n">
        <f aca="false">IF(Perf_Prod!D87&gt;0,Perf_Prod!D87*Perf!D49/((Perf_Prod!D79+Perf_Prod!D87*Perf_Prod!D83)/1000),0)</f>
        <v>113.985751592627</v>
      </c>
      <c r="E88" s="164" t="n">
        <f aca="false">IF(Perf_Prod!E87&gt;0,Perf_Prod!E87*Perf!E49/((Perf_Prod!E79+Perf_Prod!E87*Perf_Prod!E83)/1000),0)</f>
        <v>10.6231265482806</v>
      </c>
      <c r="F88" s="164" t="n">
        <f aca="false">IF(Perf_Prod!F87&gt;0,Perf_Prod!F87*Perf!F49/((Perf_Prod!F79+Perf_Prod!F87*Perf_Prod!F83)/1000),0)</f>
        <v>2612.43265270195</v>
      </c>
      <c r="G88" s="164" t="n">
        <f aca="false">IF(Perf_Prod!G87&gt;0,Perf_Prod!G87*Perf!G49/((Perf_Prod!G79+Perf_Prod!G87*Perf_Prod!G83)/1000),0)</f>
        <v>771.185521913636</v>
      </c>
      <c r="H88" s="164" t="n">
        <f aca="false">IF(Perf_Prod!H87&gt;0,Perf_Prod!H87*Perf!H49/((Perf_Prod!H79+Perf_Prod!H87*Perf_Prod!H83)/1000),0)</f>
        <v>120.261652493567</v>
      </c>
      <c r="I88" s="164" t="n">
        <f aca="false">IF(Perf_Prod!I87&gt;0,Perf_Prod!I87*Perf!I49/((Perf_Prod!I79+Perf_Prod!I87*Perf_Prod!I83)/1000),0)</f>
        <v>3918.64897905293</v>
      </c>
      <c r="J88" s="164" t="n">
        <f aca="false">IF(Perf_Prod!J87&gt;0,Perf_Prod!J87*Perf!J49/((Perf_Prod!J79+Perf_Prod!J87*Perf_Prod!J83)/1000),0)</f>
        <v>1156.77828287045</v>
      </c>
      <c r="K88" s="164" t="n">
        <f aca="false">IF(Perf_Prod!K87&gt;0,Perf_Prod!K87*Perf!K49/((Perf_Prod!K79+Perf_Prod!K87*Perf_Prod!K83)/1000),0)</f>
        <v>138.168924149531</v>
      </c>
      <c r="L88" s="164" t="n">
        <f aca="false">IF(Perf_Prod!L87&gt;0,Perf_Prod!L87*Perf!L49/((Perf_Prod!L79+Perf_Prod!L87*Perf_Prod!L83)/1000),0)</f>
        <v>9819.21181208456</v>
      </c>
      <c r="M88" s="164" t="n">
        <f aca="false">IF(Perf_Prod!M87&gt;0,Perf_Prod!M87*Perf!M49/((Perf_Prod!M79+Perf_Prod!M87*Perf_Prod!M83)/1000),0)</f>
        <v>3194.45472910969</v>
      </c>
      <c r="N88" s="164" t="n">
        <f aca="false">IF(Perf_Prod!N87&gt;0,Perf_Prod!N87*Perf!N49/((Perf_Prod!N79+Perf_Prod!N87*Perf_Prod!N83)/1000),0)</f>
        <v>582.017698423965</v>
      </c>
      <c r="O88" s="164" t="n">
        <f aca="false">IF(Perf_Prod!O87&gt;0,Perf_Prod!O87*Perf!O49/((Perf_Prod!O79+Perf_Prod!O87*Perf_Prod!O83)/1000),0)</f>
        <v>20005.8406877365</v>
      </c>
      <c r="P88" s="164" t="n">
        <f aca="false">IF(Perf_Prod!P87&gt;0,Perf_Prod!P87*Perf!P49/((Perf_Prod!P79+Perf_Prod!P87*Perf_Prod!P83)/1000),0)</f>
        <v>6678.26493707295</v>
      </c>
      <c r="Q88" s="164" t="n">
        <f aca="false">IF(Perf_Prod!Q87&gt;0,Perf_Prod!Q87*Perf!Q49/((Perf_Prod!Q79+Perf_Prod!Q87*Perf_Prod!Q83)/1000),0)</f>
        <v>1316.52345961744</v>
      </c>
      <c r="S88" s="164" t="n">
        <f aca="false">IF(Perf_Prod!S87&gt;0,Perf_Prod!S87*Perf!C49/((Perf_Prod!S79+Perf_Prod!S87*Perf_Prod!S83)/1000),0)</f>
        <v>581.417688386268</v>
      </c>
      <c r="T88" s="164" t="n">
        <f aca="false">IF(Perf_Prod!T87&gt;0,Perf_Prod!T87*Perf!D49/((Perf_Prod!T79+Perf_Prod!T87*Perf_Prod!T83)/1000),0)</f>
        <v>169.412422667315</v>
      </c>
      <c r="U88" s="164" t="n">
        <f aca="false">IF(Perf_Prod!U87&gt;0,Perf_Prod!U87*Perf!E49/((Perf_Prod!U79+Perf_Prod!U87*Perf_Prod!U83)/1000),0)</f>
        <v>24.5732764058573</v>
      </c>
      <c r="V88" s="164" t="n">
        <f aca="false">IF(Perf_Prod!V87&gt;0,Perf_Prod!V87*Perf!F49/((Perf_Prod!V79+Perf_Prod!V87*Perf_Prod!V83)/1000),0)</f>
        <v>3435.84906072185</v>
      </c>
      <c r="W88" s="164" t="n">
        <f aca="false">IF(Perf_Prod!W87&gt;0,Perf_Prod!W87*Perf!G49/((Perf_Prod!W79+Perf_Prod!W87*Perf_Prod!W83)/1000),0)</f>
        <v>986.579849054775</v>
      </c>
      <c r="X88" s="164" t="n">
        <f aca="false">IF(Perf_Prod!X87&gt;0,Perf_Prod!X87*Perf!H49/((Perf_Prod!X79+Perf_Prod!X87*Perf_Prod!X83)/1000),0)</f>
        <v>168.603449185787</v>
      </c>
      <c r="Y88" s="164" t="n">
        <f aca="false">IF(Perf_Prod!Y87&gt;0,Perf_Prod!Y87*Perf!I49/((Perf_Prod!Y79+Perf_Prod!Y87*Perf_Prod!Y83)/1000),0)</f>
        <v>5153.77359108278</v>
      </c>
      <c r="Z88" s="164" t="n">
        <f aca="false">IF(Perf_Prod!Z87&gt;0,Perf_Prod!Z87*Perf!J49/((Perf_Prod!Z79+Perf_Prod!Z87*Perf_Prod!Z83)/1000),0)</f>
        <v>1479.86977358216</v>
      </c>
      <c r="AA88" s="164" t="n">
        <f aca="false">IF(Perf_Prod!AA87&gt;0,Perf_Prod!AA87*Perf!K49/((Perf_Prod!AA79+Perf_Prod!AA87*Perf_Prod!AA83)/1000),0)</f>
        <v>203.230403671834</v>
      </c>
      <c r="AB88" s="164" t="n">
        <f aca="false">IF(Perf_Prod!AB87&gt;0,Perf_Prod!AB87*Perf!L49/((Perf_Prod!AB79+Perf_Prod!AB87*Perf_Prod!AB83)/1000),0)</f>
        <v>12820.4099803238</v>
      </c>
      <c r="AC88" s="164" t="n">
        <f aca="false">IF(Perf_Prod!AC87&gt;0,Perf_Prod!AC87*Perf!M49/((Perf_Prod!AC79+Perf_Prod!AC87*Perf_Prod!AC83)/1000),0)</f>
        <v>4035.74170982344</v>
      </c>
      <c r="AD88" s="164" t="n">
        <f aca="false">IF(Perf_Prod!AD87&gt;0,Perf_Prod!AD87*Perf!N49/((Perf_Prod!AD79+Perf_Prod!AD87*Perf_Prod!AD83)/1000),0)</f>
        <v>779.643736499055</v>
      </c>
      <c r="AE88" s="164" t="n">
        <f aca="false">IF(Perf_Prod!AE87&gt;0,Perf_Prod!AE87*Perf!O49/((Perf_Prod!AE79+Perf_Prod!AE87*Perf_Prod!AE83)/1000),0)</f>
        <v>26073.0753295504</v>
      </c>
      <c r="AF88" s="164" t="n">
        <f aca="false">IF(Perf_Prod!AF87&gt;0,Perf_Prod!AF87*Perf!P49/((Perf_Prod!AF79+Perf_Prod!AF87*Perf_Prod!AF83)/1000),0)</f>
        <v>8411.90163006283</v>
      </c>
      <c r="AG88" s="164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780</v>
      </c>
      <c r="B93" s="56" t="s">
        <v>781</v>
      </c>
      <c r="C93" s="115" t="n">
        <f aca="false">IF(Perf_Prod!C88&gt;0,Perf!C43/Perf_Prod!C75+Perf!C44/Perf_Prod!C88,"SLO 不可達")</f>
        <v>4.11078831590177</v>
      </c>
      <c r="D93" s="115" t="n">
        <f aca="false">IF(Perf_Prod!D88&gt;0,Perf!D43/Perf_Prod!D75+Perf!D44/Perf_Prod!D88,"SLO 不可達")</f>
        <v>26.5940605545119</v>
      </c>
      <c r="E93" s="115" t="n">
        <f aca="false">IF(Perf_Prod!E88&gt;0,Perf!E43/Perf_Prod!E75+Perf!E44/Perf_Prod!E88,"SLO 不可達")</f>
        <v>442.812544665238</v>
      </c>
      <c r="F93" s="115" t="n">
        <f aca="false">IF(Perf_Prod!F88&gt;0,Perf!F43/Perf_Prod!F75+Perf!F44/Perf_Prod!F88,"SLO 不可達")</f>
        <v>0.514883362662382</v>
      </c>
      <c r="G93" s="115" t="n">
        <f aca="false">IF(Perf_Prod!G88&gt;0,Perf!G43/Perf_Prod!G75+Perf!G44/Perf_Prod!G88,"SLO 不可達")</f>
        <v>3.50885218561265</v>
      </c>
      <c r="H93" s="115" t="n">
        <f aca="false">IF(Perf_Prod!H88&gt;0,Perf!H43/Perf_Prod!H75+Perf!H44/Perf_Prod!H88,"SLO 不可達")</f>
        <v>39.7199747238883</v>
      </c>
      <c r="I93" s="115" t="n">
        <f aca="false">IF(Perf_Prod!I88&gt;0,Perf!I43/Perf_Prod!I75+Perf!I44/Perf_Prod!I88,"SLO 不可達")</f>
        <v>0.343255575108254</v>
      </c>
      <c r="J93" s="115" t="n">
        <f aca="false">IF(Perf_Prod!J88&gt;0,Perf!J43/Perf_Prod!J75+Perf!J44/Perf_Prod!J88,"SLO 不可達")</f>
        <v>2.33923479040843</v>
      </c>
      <c r="K93" s="115" t="n">
        <f aca="false">IF(Perf_Prod!K88&gt;0,Perf!K43/Perf_Prod!K75+Perf!K44/Perf_Prod!K88,"SLO 不可達")</f>
        <v>33.4188081952763</v>
      </c>
      <c r="L93" s="115" t="n">
        <f aca="false">IF(Perf_Prod!L88&gt;0,Perf!L43/Perf_Prod!L75+Perf!L44/Perf_Prod!L88,"SLO 不可達")</f>
        <v>0.139402937650023</v>
      </c>
      <c r="M93" s="115" t="n">
        <f aca="false">IF(Perf_Prod!M88&gt;0,Perf!M43/Perf_Prod!M75+Perf!M44/Perf_Prod!M88,"SLO 不可達")</f>
        <v>0.884882599423865</v>
      </c>
      <c r="N93" s="115" t="n">
        <f aca="false">IF(Perf_Prod!N88&gt;0,Perf!N43/Perf_Prod!N75+Perf!N44/Perf_Prod!N88,"SLO 不可達")</f>
        <v>8.6549881227695</v>
      </c>
      <c r="O93" s="115" t="n">
        <f aca="false">IF(Perf_Prod!O88&gt;0,Perf!O43/Perf_Prod!O75+Perf!O44/Perf_Prod!O88,"SLO 不可達")</f>
        <v>0.0687438430023138</v>
      </c>
      <c r="P93" s="115" t="n">
        <f aca="false">IF(Perf_Prod!P88&gt;0,Perf!P43/Perf_Prod!P75+Perf!P44/Perf_Prod!P88,"SLO 不可達")</f>
        <v>0.428552289902651</v>
      </c>
      <c r="Q93" s="115" t="n">
        <f aca="false">IF(Perf_Prod!Q88&gt;0,Perf!Q43/Perf_Prod!Q75+Perf!Q44/Perf_Prod!Q88,"SLO 不可達")</f>
        <v>3.91992519086651</v>
      </c>
      <c r="S93" s="115" t="n">
        <f aca="false">IF(Perf_Prod!S88&gt;0,Perf!C43/Perf_Prod!S75+Perf!C44/Perf_Prod!S88,"SLO 不可達")</f>
        <v>2.81758042871208</v>
      </c>
      <c r="T93" s="115" t="n">
        <f aca="false">IF(Perf_Prod!T88&gt;0,Perf!D43/Perf_Prod!T75+Perf!D44/Perf_Prod!T88,"SLO 不可達")</f>
        <v>19.4217091738095</v>
      </c>
      <c r="U93" s="115" t="n">
        <f aca="false">IF(Perf_Prod!U88&gt;0,Perf!E43/Perf_Prod!U75+Perf!E44/Perf_Prod!U88,"SLO 不可達")</f>
        <v>215.338013912042</v>
      </c>
      <c r="V93" s="115" t="n">
        <f aca="false">IF(Perf_Prod!V88&gt;0,Perf!F43/Perf_Prod!V75+Perf!F44/Perf_Prod!V88,"SLO 不可達")</f>
        <v>0.402508852115598</v>
      </c>
      <c r="W93" s="115" t="n">
        <f aca="false">IF(Perf_Prod!W88&gt;0,Perf!G43/Perf_Prod!W75+Perf!G44/Perf_Prod!W88,"SLO 不可達")</f>
        <v>2.80107890175599</v>
      </c>
      <c r="X93" s="115" t="n">
        <f aca="false">IF(Perf_Prod!X88&gt;0,Perf!H43/Perf_Prod!X75+Perf!H44/Perf_Prod!X88,"SLO 不可達")</f>
        <v>29.1054597325189</v>
      </c>
      <c r="Y93" s="115" t="n">
        <f aca="false">IF(Perf_Prod!Y88&gt;0,Perf!I43/Perf_Prod!Y75+Perf!I44/Perf_Prod!Y88,"SLO 不可達")</f>
        <v>0.268339234743732</v>
      </c>
      <c r="Z93" s="115" t="n">
        <f aca="false">IF(Perf_Prod!Z88&gt;0,Perf!J43/Perf_Prod!Z75+Perf!J44/Perf_Prod!Z88,"SLO 不可達")</f>
        <v>1.86738593450399</v>
      </c>
      <c r="AA93" s="115" t="n">
        <f aca="false">IF(Perf_Prod!AA88&gt;0,Perf!K43/Perf_Prod!AA75+Perf!K44/Perf_Prod!AA88,"SLO 不可達")</f>
        <v>23.3623109173702</v>
      </c>
      <c r="AB93" s="115" t="n">
        <f aca="false">IF(Perf_Prod!AB88&gt;0,Perf!L43/Perf_Prod!AB75+Perf!L44/Perf_Prod!AB88,"SLO 不可達")</f>
        <v>0.109722585057166</v>
      </c>
      <c r="AC93" s="115" t="n">
        <f aca="false">IF(Perf_Prod!AC88&gt;0,Perf!M43/Perf_Prod!AC75+Perf!M44/Perf_Prod!AC88,"SLO 不可達")</f>
        <v>0.714671455168045</v>
      </c>
      <c r="AD93" s="115" t="n">
        <f aca="false">IF(Perf_Prod!AD88&gt;0,Perf!N43/Perf_Prod!AD75+Perf!N44/Perf_Prod!AD88,"SLO 不可達")</f>
        <v>6.62847288948946</v>
      </c>
      <c r="AE93" s="115" t="n">
        <f aca="false">IF(Perf_Prod!AE88&gt;0,Perf!O43/Perf_Prod!AE75+Perf!O44/Perf_Prod!AE88,"SLO 不可達")</f>
        <v>0.0541992038157031</v>
      </c>
      <c r="AF93" s="115" t="n">
        <f aca="false">IF(Perf_Prod!AF88&gt;0,Perf!P43/Perf_Prod!AF75+Perf!P44/Perf_Prod!AF88,"SLO 不可達")</f>
        <v>0.347067506939312</v>
      </c>
      <c r="AG93" s="115" t="n">
        <f aca="false">IF(Perf_Prod!AG88&gt;0,Perf!Q43/Perf_Prod!AG75+Perf!Q44/Perf_Prod!AG88,"SLO 不可達")</f>
        <v>3.04319873201742</v>
      </c>
    </row>
    <row r="95" customFormat="false" ht="15" hidden="false" customHeight="false" outlineLevel="0" collapsed="false">
      <c r="A95" s="58" t="s">
        <v>783</v>
      </c>
      <c r="B95" s="56" t="s">
        <v>359</v>
      </c>
      <c r="C95" s="164" t="n">
        <f aca="false">IF(ISNUMBER(Perf_Prod!C93),IF(Perf_Prod!C93&gt;0,Perf!C22*(Perf!C43+Perf!C44)/Perf_Prod!C93,0),Perf_Prod!C93)</f>
        <v>71740.9842922807</v>
      </c>
      <c r="D95" s="164" t="n">
        <f aca="false">IF(ISNUMBER(Perf_Prod!D93),IF(Perf_Prod!D93&gt;0,Perf!D22*(Perf!D43+Perf!D44)/Perf_Prod!D93,0),Perf_Prod!D93)</f>
        <v>22178.7868306531</v>
      </c>
      <c r="E95" s="164" t="n">
        <f aca="false">IF(ISNUMBER(Perf_Prod!E93),IF(Perf_Prod!E93&gt;0,Perf!E22*(Perf!E43+Perf!E44)/Perf_Prod!E93,0),Perf_Prod!E93)</f>
        <v>2663.9895689762</v>
      </c>
      <c r="F95" s="164" t="n">
        <f aca="false">IF(ISNUMBER(Perf_Prod!F93),IF(Perf_Prod!F93&gt;0,Perf!F22*(Perf!F43+Perf!F44)/Perf_Prod!F93,0),Perf_Prod!F93)</f>
        <v>1288742.360151</v>
      </c>
      <c r="G95" s="164" t="n">
        <f aca="false">IF(ISNUMBER(Perf_Prod!G93),IF(Perf_Prod!G93&gt;0,Perf!G22*(Perf!G43+Perf!G44)/Perf_Prod!G93,0),Perf_Prod!G93)</f>
        <v>378215.989103652</v>
      </c>
      <c r="H95" s="164" t="n">
        <f aca="false">IF(ISNUMBER(Perf_Prod!H93),IF(Perf_Prod!H93&gt;0,Perf!H22*(Perf!H43+Perf!H44)/Perf_Prod!H93,0),Perf_Prod!H93)</f>
        <v>66823.003248381</v>
      </c>
      <c r="I95" s="164" t="n">
        <f aca="false">IF(ISNUMBER(Perf_Prod!I93),IF(Perf_Prod!I93&gt;0,Perf!I22*(Perf!I43+Perf!I44)/Perf_Prod!I93,0),Perf_Prod!I93)</f>
        <v>1933113.5402265</v>
      </c>
      <c r="J95" s="164" t="n">
        <f aca="false">IF(ISNUMBER(Perf_Prod!J93),IF(Perf_Prod!J93&gt;0,Perf!J22*(Perf!J43+Perf!J44)/Perf_Prod!J93,0),Perf_Prod!J93)</f>
        <v>567323.983655479</v>
      </c>
      <c r="K95" s="164" t="n">
        <f aca="false">IF(ISNUMBER(Perf_Prod!K93),IF(Perf_Prod!K93&gt;0,Perf!K22*(Perf!K43+Perf!K44)/Perf_Prod!K93,0),Perf_Prod!K93)</f>
        <v>79422.5809756785</v>
      </c>
      <c r="L95" s="164" t="n">
        <f aca="false">IF(ISNUMBER(Perf_Prod!L93),IF(Perf_Prod!L93&gt;0,Perf!L22*(Perf!L43+Perf!L44)/Perf_Prod!L93,0),Perf_Prod!L93)</f>
        <v>4759957.07971287</v>
      </c>
      <c r="M95" s="164" t="n">
        <f aca="false">IF(ISNUMBER(Perf_Prod!M93),IF(Perf_Prod!M93&gt;0,Perf!M22*(Perf!M43+Perf!M44)/Perf_Prod!M93,0),Perf_Prod!M93)</f>
        <v>1499751.49343434</v>
      </c>
      <c r="N95" s="164" t="n">
        <f aca="false">IF(ISNUMBER(Perf_Prod!N93),IF(Perf_Prod!N93&gt;0,Perf!N22*(Perf!N43+Perf!N44)/Perf_Prod!N93,0),Perf_Prod!N93)</f>
        <v>306668.01182746</v>
      </c>
      <c r="O95" s="164" t="n">
        <f aca="false">IF(ISNUMBER(Perf_Prod!O93),IF(Perf_Prod!O93&gt;0,Perf!O22*(Perf!O43+Perf!O44)/Perf_Prod!O93,0),Perf_Prod!O93)</f>
        <v>9652529.89969831</v>
      </c>
      <c r="P95" s="164" t="n">
        <f aca="false">IF(ISNUMBER(Perf_Prod!P93),IF(Perf_Prod!P93&gt;0,Perf!P22*(Perf!P43+Perf!P44)/Perf_Prod!P93,0),Perf_Prod!P93)</f>
        <v>3096714.28964121</v>
      </c>
      <c r="Q95" s="164" t="n">
        <f aca="false">IF(ISNUMBER(Perf_Prod!Q93),IF(Perf_Prod!Q93&gt;0,Perf!Q22*(Perf!Q43+Perf!Q44)/Perf_Prod!Q93,0),Perf_Prod!Q93)</f>
        <v>677106.799431873</v>
      </c>
      <c r="S95" s="164" t="n">
        <f aca="false">IF(ISNUMBER(Perf_Prod!S93),IF(Perf_Prod!S93&gt;0,Perf!C22*(Perf!C43+Perf!C44)/Perf_Prod!S93,0),Perf_Prod!S93)</f>
        <v>104668.529421467</v>
      </c>
      <c r="T95" s="164" t="n">
        <f aca="false">IF(ISNUMBER(Perf_Prod!T93),IF(Perf_Prod!T93&gt;0,Perf!D22*(Perf!D43+Perf!D44)/Perf_Prod!T93,0),Perf_Prod!T93)</f>
        <v>30369.3148075447</v>
      </c>
      <c r="U95" s="164" t="n">
        <f aca="false">IF(ISNUMBER(Perf_Prod!U93),IF(Perf_Prod!U93&gt;0,Perf!E22*(Perf!E43+Perf!E44)/Perf_Prod!U93,0),Perf_Prod!U93)</f>
        <v>5478.1224112239</v>
      </c>
      <c r="V95" s="164" t="n">
        <f aca="false">IF(ISNUMBER(Perf_Prod!V93),IF(Perf_Prod!V93&gt;0,Perf!F22*(Perf!F43+Perf!F44)/Perf_Prod!V93,0),Perf_Prod!V93)</f>
        <v>1648540.14144621</v>
      </c>
      <c r="W95" s="164" t="n">
        <f aca="false">IF(ISNUMBER(Perf_Prod!W93),IF(Perf_Prod!W93&gt;0,Perf!G22*(Perf!G43+Perf!G44)/Perf_Prod!W93,0),Perf_Prod!W93)</f>
        <v>473783.155186397</v>
      </c>
      <c r="X95" s="164" t="n">
        <f aca="false">IF(ISNUMBER(Perf_Prod!X93),IF(Perf_Prod!X93&gt;0,Perf!H22*(Perf!H43+Perf!H44)/Perf_Prod!X93,0),Perf_Prod!X93)</f>
        <v>91192.7873461663</v>
      </c>
      <c r="Y95" s="164" t="n">
        <f aca="false">IF(ISNUMBER(Perf_Prod!Y93),IF(Perf_Prod!Y93&gt;0,Perf!I22*(Perf!I43+Perf!I44)/Perf_Prod!Y93,0),Perf_Prod!Y93)</f>
        <v>2472810.21216931</v>
      </c>
      <c r="Z95" s="164" t="n">
        <f aca="false">IF(ISNUMBER(Perf_Prod!Z93),IF(Perf_Prod!Z93&gt;0,Perf!J22*(Perf!J43+Perf!J44)/Perf_Prod!Z93,0),Perf_Prod!Z93)</f>
        <v>710674.732779595</v>
      </c>
      <c r="AA95" s="164" t="n">
        <f aca="false">IF(ISNUMBER(Perf_Prod!AA93),IF(Perf_Prod!AA93&gt;0,Perf!K22*(Perf!K43+Perf!K44)/Perf_Prod!AA93,0),Perf_Prod!AA93)</f>
        <v>113610.678728985</v>
      </c>
      <c r="AB95" s="164" t="n">
        <f aca="false">IF(ISNUMBER(Perf_Prod!AB93),IF(Perf_Prod!AB93&gt;0,Perf!L22*(Perf!L43+Perf!L44)/Perf_Prod!AB93,0),Perf_Prod!AB93)</f>
        <v>6047542.53332882</v>
      </c>
      <c r="AC95" s="164" t="n">
        <f aca="false">IF(ISNUMBER(Perf_Prod!AC93),IF(Perf_Prod!AC93&gt;0,Perf!M22*(Perf!M43+Perf!M44)/Perf_Prod!AC93,0),Perf_Prod!AC93)</f>
        <v>1856942.7817541</v>
      </c>
      <c r="AD95" s="164" t="n">
        <f aca="false">IF(ISNUMBER(Perf_Prod!AD93),IF(Perf_Prod!AD93&gt;0,Perf!N22*(Perf!N43+Perf!N44)/Perf_Prod!AD93,0),Perf_Prod!AD93)</f>
        <v>400425.262990618</v>
      </c>
      <c r="AE95" s="164" t="n">
        <f aca="false">IF(ISNUMBER(Perf_Prod!AE93),IF(Perf_Prod!AE93&gt;0,Perf!O22*(Perf!O43+Perf!O44)/Perf_Prod!AE93,0),Perf_Prod!AE93)</f>
        <v>12242836.6707437</v>
      </c>
      <c r="AF95" s="164" t="n">
        <f aca="false">IF(ISNUMBER(Perf_Prod!AF93),IF(Perf_Prod!AF93&gt;0,Perf!P22*(Perf!P43+Perf!P44)/Perf_Prod!AF93,0),Perf_Prod!AF93)</f>
        <v>3823763.31251331</v>
      </c>
      <c r="AG95" s="164" t="n">
        <f aca="false">IF(ISNUMBER(Perf_Prod!AG93),IF(Perf_Prod!AG93&gt;0,Perf!Q22*(Perf!Q43+Perf!Q44)/Perf_Prod!AG93,0),Perf_Prod!AG93)</f>
        <v>872177.01955352</v>
      </c>
    </row>
    <row r="98" customFormat="false" ht="15" hidden="false" customHeight="false" outlineLevel="0" collapsed="false">
      <c r="A98" s="58" t="s">
        <v>786</v>
      </c>
      <c r="B98" s="56" t="s">
        <v>2321</v>
      </c>
      <c r="C98" s="164" t="n">
        <f aca="false">IF(ISNUMBER(Perf_Prod!C95),Perf_Prod!C95*Perf!C25*8760*3600/1000000,Perf_Prod!C95)</f>
        <v>50766524969.9116</v>
      </c>
      <c r="D98" s="164" t="n">
        <f aca="false">IF(ISNUMBER(Perf_Prod!D95),Perf_Prod!D95*Perf!D25*8760*3600/1000000,Perf_Prod!D95)</f>
        <v>15694514740.0473</v>
      </c>
      <c r="E98" s="164" t="n">
        <f aca="false">IF(ISNUMBER(Perf_Prod!E95),Perf_Prod!E95*Perf!E25*8760*3600/1000000,Perf_Prod!E95)</f>
        <v>1885135732.48487</v>
      </c>
      <c r="F98" s="164" t="n">
        <f aca="false">IF(ISNUMBER(Perf_Prod!F95),Perf_Prod!F95*Perf!F25*8760*3600/1000000,Perf_Prod!F95)</f>
        <v>283232558336.892</v>
      </c>
      <c r="G98" s="164" t="n">
        <f aca="false">IF(ISNUMBER(Perf_Prod!G95),Perf_Prod!G95*Perf!G25*8760*3600/1000000,Perf_Prod!G95)</f>
        <v>83122186024.2059</v>
      </c>
      <c r="H98" s="164" t="n">
        <f aca="false">IF(ISNUMBER(Perf_Prod!H95),Perf_Prod!H95*Perf!H25*8760*3600/1000000,Perf_Prod!H95)</f>
        <v>14685984375.9429</v>
      </c>
      <c r="I98" s="164" t="n">
        <f aca="false">IF(ISNUMBER(Perf_Prod!I95),Perf_Prod!I95*Perf!I25*8760*3600/1000000,Perf_Prod!I95)</f>
        <v>412351490441.398</v>
      </c>
      <c r="J98" s="164" t="n">
        <f aca="false">IF(ISNUMBER(Perf_Prod!J95),Perf_Prod!J95*Perf!J25*8760*3600/1000000,Perf_Prod!J95)</f>
        <v>121015597560.854</v>
      </c>
      <c r="K98" s="164" t="n">
        <f aca="false">IF(ISNUMBER(Perf_Prod!K95),Perf_Prod!K95*Perf!K25*8760*3600/1000000,Perf_Prod!K95)</f>
        <v>16941591354.3218</v>
      </c>
      <c r="L98" s="164" t="n">
        <f aca="false">IF(ISNUMBER(Perf_Prod!L95),Perf_Prod!L95*Perf!L25*8760*3600/1000000,Perf_Prod!L95)</f>
        <v>608245746199.523</v>
      </c>
      <c r="M98" s="164" t="n">
        <f aca="false">IF(ISNUMBER(Perf_Prod!M95),Perf_Prod!M95*Perf!M25*8760*3600/1000000,Perf_Prod!M95)</f>
        <v>191644052868.822</v>
      </c>
      <c r="N98" s="164" t="n">
        <f aca="false">IF(ISNUMBER(Perf_Prod!N95),Perf_Prod!N95*Perf!N25*8760*3600/1000000,Perf_Prod!N95)</f>
        <v>39187225969.8546</v>
      </c>
      <c r="O98" s="164" t="n">
        <f aca="false">IF(ISNUMBER(Perf_Prod!O95),Perf_Prod!O95*Perf!O25*8760*3600/1000000,Perf_Prod!O95)</f>
        <v>823407904790.176</v>
      </c>
      <c r="P98" s="164" t="n">
        <f aca="false">IF(ISNUMBER(Perf_Prod!P95),Perf_Prod!P95*Perf!P25*8760*3600/1000000,Perf_Prod!P95)</f>
        <v>264164840872.129</v>
      </c>
      <c r="Q98" s="164" t="n">
        <f aca="false">IF(ISNUMBER(Perf_Prod!Q95),Perf_Prod!Q95*Perf!Q25*8760*3600/1000000,Perf_Prod!Q95)</f>
        <v>57760514272.72</v>
      </c>
      <c r="S98" s="164" t="n">
        <f aca="false">IF(ISNUMBER(Perf_Prod!S95),Perf_Prod!S95*Perf!C25*8760*3600/1000000,Perf_Prod!S95)</f>
        <v>74067251304.9223</v>
      </c>
      <c r="T98" s="164" t="n">
        <f aca="false">IF(ISNUMBER(Perf_Prod!T95),Perf_Prod!T95*Perf!D25*8760*3600/1000000,Perf_Prod!T95)</f>
        <v>21490429685.4234</v>
      </c>
      <c r="U98" s="164" t="n">
        <f aca="false">IF(ISNUMBER(Perf_Prod!U95),Perf_Prod!U95*Perf!E25*8760*3600/1000000,Perf_Prod!U95)</f>
        <v>3876518295.93805</v>
      </c>
      <c r="V98" s="164" t="n">
        <f aca="false">IF(ISNUMBER(Perf_Prod!V95),Perf_Prod!V95*Perf!F25*8760*3600/1000000,Perf_Prod!V95)</f>
        <v>362306894085.614</v>
      </c>
      <c r="W98" s="164" t="n">
        <f aca="false">IF(ISNUMBER(Perf_Prod!W95),Perf_Prod!W95*Perf!G25*8760*3600/1000000,Perf_Prod!W95)</f>
        <v>104125401080.667</v>
      </c>
      <c r="X98" s="164" t="n">
        <f aca="false">IF(ISNUMBER(Perf_Prod!X95),Perf_Prod!X95*Perf!H25*8760*3600/1000000,Perf_Prod!X95)</f>
        <v>20041838664.2467</v>
      </c>
      <c r="Y98" s="164" t="n">
        <f aca="false">IF(ISNUMBER(Perf_Prod!Y95),Perf_Prod!Y95*Perf!I25*8760*3600/1000000,Perf_Prod!Y95)</f>
        <v>527473919843.971</v>
      </c>
      <c r="Z98" s="164" t="n">
        <f aca="false">IF(ISNUMBER(Perf_Prod!Z95),Perf_Prod!Z95*Perf!J25*8760*3600/1000000,Perf_Prod!Z95)</f>
        <v>151593674754.548</v>
      </c>
      <c r="AA98" s="164" t="n">
        <f aca="false">IF(ISNUMBER(Perf_Prod!AA95),Perf_Prod!AA95*Perf!K25*8760*3600/1000000,Perf_Prod!AA95)</f>
        <v>24234237528.7831</v>
      </c>
      <c r="AB98" s="164" t="n">
        <f aca="false">IF(ISNUMBER(Perf_Prod!AB95),Perf_Prod!AB95*Perf!L25*8760*3600/1000000,Perf_Prod!AB95)</f>
        <v>772778400993.445</v>
      </c>
      <c r="AC98" s="164" t="n">
        <f aca="false">IF(ISNUMBER(Perf_Prod!AC95),Perf_Prod!AC95*Perf!M25*8760*3600/1000000,Perf_Prod!AC95)</f>
        <v>237287338734.99</v>
      </c>
      <c r="AD98" s="164" t="n">
        <f aca="false">IF(ISNUMBER(Perf_Prod!AD95),Perf_Prod!AD95*Perf!N25*8760*3600/1000000,Perf_Prod!AD95)</f>
        <v>51167890551.5595</v>
      </c>
      <c r="AE98" s="164" t="n">
        <f aca="false">IF(ISNUMBER(Perf_Prod!AE95),Perf_Prod!AE95*Perf!O25*8760*3600/1000000,Perf_Prod!AE95)</f>
        <v>1044373713057.39</v>
      </c>
      <c r="AF98" s="164" t="n">
        <f aca="false">IF(ISNUMBER(Perf_Prod!AF95),Perf_Prod!AF95*Perf!P25*8760*3600/1000000,Perf_Prod!AF95)</f>
        <v>326185670522.351</v>
      </c>
      <c r="AG98" s="164" t="n">
        <f aca="false">IF(ISNUMBER(Perf_Prod!AG95),Perf_Prod!AG95*Perf!Q25*8760*3600/1000000,Perf_Prod!AG95)</f>
        <v>74400955991.7707</v>
      </c>
    </row>
    <row r="101" customFormat="false" ht="15" hidden="false" customHeight="false" outlineLevel="0" collapsed="false">
      <c r="A101" s="58" t="s">
        <v>790</v>
      </c>
      <c r="B101" s="56" t="s">
        <v>791</v>
      </c>
      <c r="C101" s="96" t="n">
        <f aca="false">1000000/Perf_Prod!C75</f>
        <v>151.707275617169</v>
      </c>
      <c r="D101" s="96" t="n">
        <f aca="false">1000000/Perf_Prod!D75</f>
        <v>526.544349980357</v>
      </c>
      <c r="E101" s="96" t="n">
        <f aca="false">1000000/Perf_Prod!E75</f>
        <v>1746.78576815559</v>
      </c>
      <c r="F101" s="96" t="n">
        <f aca="false">1000000/Perf_Prod!F75</f>
        <v>15.003849558538</v>
      </c>
      <c r="G101" s="96" t="n">
        <f aca="false">1000000/Perf_Prod!G75</f>
        <v>52.0752362130573</v>
      </c>
      <c r="H101" s="96" t="n">
        <f aca="false">1000000/Perf_Prod!H75</f>
        <v>172.757112470588</v>
      </c>
      <c r="I101" s="96" t="n">
        <f aca="false">1000000/Perf_Prod!I75</f>
        <v>10.0025663723587</v>
      </c>
      <c r="J101" s="96" t="n">
        <f aca="false">1000000/Perf_Prod!J75</f>
        <v>34.7168241420382</v>
      </c>
      <c r="K101" s="96" t="n">
        <f aca="false">1000000/Perf_Prod!K75</f>
        <v>115.171408313725</v>
      </c>
      <c r="L101" s="96" t="n">
        <f aca="false">1000000/Perf_Prod!L75</f>
        <v>4.2868141595823</v>
      </c>
      <c r="M101" s="96" t="n">
        <f aca="false">1000000/Perf_Prod!M75</f>
        <v>14.8786389180164</v>
      </c>
      <c r="N101" s="96" t="n">
        <f aca="false">1000000/Perf_Prod!N75</f>
        <v>49.3591749915966</v>
      </c>
      <c r="O101" s="96" t="n">
        <f aca="false">1000000/Perf_Prod!O75</f>
        <v>2.14340707979115</v>
      </c>
      <c r="P101" s="96" t="n">
        <f aca="false">1000000/Perf_Prod!P75</f>
        <v>7.43931945900818</v>
      </c>
      <c r="Q101" s="96" t="n">
        <f aca="false">1000000/Perf_Prod!Q75</f>
        <v>24.6795874957983</v>
      </c>
      <c r="S101" s="96" t="n">
        <f aca="false">1000000/Perf_Prod!S75</f>
        <v>128.951184274594</v>
      </c>
      <c r="T101" s="96" t="n">
        <f aca="false">1000000/Perf_Prod!T75</f>
        <v>447.562697483303</v>
      </c>
      <c r="U101" s="96" t="n">
        <f aca="false">1000000/Perf_Prod!U75</f>
        <v>1484.76790293225</v>
      </c>
      <c r="V101" s="96" t="n">
        <f aca="false">1000000/Perf_Prod!V75</f>
        <v>12.7532721247573</v>
      </c>
      <c r="W101" s="96" t="n">
        <f aca="false">1000000/Perf_Prod!W75</f>
        <v>44.2639507810987</v>
      </c>
      <c r="X101" s="96" t="n">
        <f aca="false">1000000/Perf_Prod!X75</f>
        <v>146.8435456</v>
      </c>
      <c r="Y101" s="96" t="n">
        <f aca="false">1000000/Perf_Prod!Y75</f>
        <v>8.50218141650489</v>
      </c>
      <c r="Z101" s="96" t="n">
        <f aca="false">1000000/Perf_Prod!Z75</f>
        <v>29.5093005207324</v>
      </c>
      <c r="AA101" s="96" t="n">
        <f aca="false">1000000/Perf_Prod!AA75</f>
        <v>97.8956970666667</v>
      </c>
      <c r="AB101" s="96" t="n">
        <f aca="false">1000000/Perf_Prod!AB75</f>
        <v>3.64379203564495</v>
      </c>
      <c r="AC101" s="96" t="n">
        <f aca="false">1000000/Perf_Prod!AC75</f>
        <v>12.6468430803139</v>
      </c>
      <c r="AD101" s="96" t="n">
        <f aca="false">1000000/Perf_Prod!AD75</f>
        <v>41.9552987428571</v>
      </c>
      <c r="AE101" s="96" t="n">
        <f aca="false">1000000/Perf_Prod!AE75</f>
        <v>1.82189601782248</v>
      </c>
      <c r="AF101" s="96" t="n">
        <f aca="false">1000000/Perf_Prod!AF75</f>
        <v>6.32342154015695</v>
      </c>
      <c r="AG101" s="96" t="n">
        <f aca="false">1000000/Perf_Prod!AG75</f>
        <v>20.9776493714286</v>
      </c>
    </row>
    <row r="103" customFormat="false" ht="15" hidden="false" customHeight="false" outlineLevel="0" collapsed="false">
      <c r="A103" s="59" t="s">
        <v>793</v>
      </c>
      <c r="B103" s="56" t="s">
        <v>791</v>
      </c>
      <c r="C103" s="96" t="n">
        <f aca="false">IF(Perf_Prod!C88&gt;0,1000000/Perf_Prod!C88,"SLO 不可達")</f>
        <v>2800.78350981047</v>
      </c>
      <c r="D103" s="96" t="n">
        <f aca="false">IF(Perf_Prod!D88&gt;0,1000000/Perf_Prod!D88,"SLO 不可達")</f>
        <v>8773.0263302899</v>
      </c>
      <c r="E103" s="96" t="n">
        <f aca="false">IF(Perf_Prod!E88&gt;0,1000000/Perf_Prod!E88,"SLO 不可達")</f>
        <v>94134.2452671669</v>
      </c>
      <c r="F103" s="96" t="n">
        <f aca="false">IF(Perf_Prod!F88&gt;0,1000000/Perf_Prod!F88,"SLO 不可達")</f>
        <v>382.784987381678</v>
      </c>
      <c r="G103" s="96" t="n">
        <f aca="false">IF(Perf_Prod!G88&gt;0,1000000/Perf_Prod!G88,"SLO 不可達")</f>
        <v>1296.70484155172</v>
      </c>
      <c r="H103" s="96" t="n">
        <f aca="false">IF(Perf_Prod!H88&gt;0,1000000/Perf_Prod!H88,"SLO 不可達")</f>
        <v>8315.20255430959</v>
      </c>
      <c r="I103" s="96" t="n">
        <f aca="false">IF(Perf_Prod!I88&gt;0,1000000/Perf_Prod!I88,"SLO 不可達")</f>
        <v>255.189991587785</v>
      </c>
      <c r="J103" s="96" t="n">
        <f aca="false">IF(Perf_Prod!J88&gt;0,1000000/Perf_Prod!J88,"SLO 不可達")</f>
        <v>864.469894367812</v>
      </c>
      <c r="K103" s="96" t="n">
        <f aca="false">IF(Perf_Prod!K88&gt;0,1000000/Perf_Prod!K88,"SLO 不可達")</f>
        <v>7237.51745304007</v>
      </c>
      <c r="L103" s="96" t="n">
        <f aca="false">IF(Perf_Prod!L88&gt;0,1000000/Perf_Prod!L88,"SLO 不可達")</f>
        <v>101.841168022192</v>
      </c>
      <c r="M103" s="96" t="n">
        <f aca="false">IF(Perf_Prod!M88&gt;0,1000000/Perf_Prod!M88,"SLO 不可達")</f>
        <v>313.042470405803</v>
      </c>
      <c r="N103" s="96" t="n">
        <f aca="false">IF(Perf_Prod!N88&gt;0,1000000/Perf_Prod!N88,"SLO 不可達")</f>
        <v>1718.16080972775</v>
      </c>
      <c r="O103" s="96" t="n">
        <f aca="false">IF(Perf_Prod!O88&gt;0,1000000/Perf_Prod!O88,"SLO 不可達")</f>
        <v>49.9854025436179</v>
      </c>
      <c r="P103" s="96" t="n">
        <f aca="false">IF(Perf_Prod!P88&gt;0,1000000/Perf_Prod!P88,"SLO 不可達")</f>
        <v>149.739492131963</v>
      </c>
      <c r="Q103" s="96" t="n">
        <f aca="false">IF(Perf_Prod!Q88&gt;0,1000000/Perf_Prod!Q88,"SLO 不可達")</f>
        <v>759.576286085008</v>
      </c>
      <c r="S103" s="96" t="n">
        <f aca="false">IF(Perf_Prod!S88&gt;0,1000000/Perf_Prod!S88,"SLO 不可達")</f>
        <v>1719.93391321739</v>
      </c>
      <c r="T103" s="96" t="n">
        <f aca="false">IF(Perf_Prod!T88&gt;0,1000000/Perf_Prod!T88,"SLO 不可達")</f>
        <v>5902.75485265774</v>
      </c>
      <c r="U103" s="96" t="n">
        <f aca="false">IF(Perf_Prod!U88&gt;0,1000000/Perf_Prod!U88,"SLO 不可達")</f>
        <v>40694.6140792865</v>
      </c>
      <c r="V103" s="96" t="n">
        <f aca="false">IF(Perf_Prod!V88&gt;0,1000000/Perf_Prod!V88,"SLO 不可達")</f>
        <v>291.04887389608</v>
      </c>
      <c r="W103" s="96" t="n">
        <f aca="false">IF(Perf_Prod!W88&gt;0,1000000/Perf_Prod!W88,"SLO 不可達")</f>
        <v>1013.60270124925</v>
      </c>
      <c r="X103" s="96" t="n">
        <f aca="false">IF(Perf_Prod!X88&gt;0,1000000/Perf_Prod!X88,"SLO 不可達")</f>
        <v>5931.07676520949</v>
      </c>
      <c r="Y103" s="96" t="n">
        <f aca="false">IF(Perf_Prod!Y88&gt;0,1000000/Perf_Prod!Y88,"SLO 不可達")</f>
        <v>194.032582597387</v>
      </c>
      <c r="Z103" s="96" t="n">
        <f aca="false">IF(Perf_Prod!Z88&gt;0,1000000/Perf_Prod!Z88,"SLO 不可達")</f>
        <v>675.735134166168</v>
      </c>
      <c r="AA103" s="96" t="n">
        <f aca="false">IF(Perf_Prod!AA88&gt;0,1000000/Perf_Prod!AA88,"SLO 不可達")</f>
        <v>4920.52361227776</v>
      </c>
      <c r="AB103" s="96" t="n">
        <f aca="false">IF(Perf_Prod!AB88&gt;0,1000000/Perf_Prod!AB88,"SLO 不可達")</f>
        <v>78.000625684729</v>
      </c>
      <c r="AC103" s="96" t="n">
        <f aca="false">IF(Perf_Prod!AC88&gt;0,1000000/Perf_Prod!AC88,"SLO 不可達")</f>
        <v>247.785926826261</v>
      </c>
      <c r="AD103" s="96" t="n">
        <f aca="false">IF(Perf_Prod!AD88&gt;0,1000000/Perf_Prod!AD88,"SLO 不可達")</f>
        <v>1282.63712409266</v>
      </c>
      <c r="AE103" s="96" t="n">
        <f aca="false">IF(Perf_Prod!AE88&gt;0,1000000/Perf_Prod!AE88,"SLO 不可達")</f>
        <v>38.3537418336927</v>
      </c>
      <c r="AF103" s="96" t="n">
        <f aca="false">IF(Perf_Prod!AF88&gt;0,1000000/Perf_Prod!AF88,"SLO 不可達")</f>
        <v>118.879183801455</v>
      </c>
      <c r="AG103" s="96" t="n">
        <f aca="false">IF(Perf_Prod!AG88&gt;0,1000000/Perf_Prod!AG88,"SLO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2322</v>
      </c>
    </row>
    <row r="2" customFormat="false" ht="15" hidden="false" customHeight="false" outlineLevel="0" collapsed="false">
      <c r="A2" s="71" t="s">
        <v>2323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Perf_Batch!A4</f>
        <v>世代</v>
      </c>
      <c r="C4" s="90" t="str">
        <f aca="false">Perf_Batch!C4</f>
        <v>Hopper H100</v>
      </c>
      <c r="D4" s="90" t="str">
        <f aca="false">Perf_Batch!D4</f>
        <v>Hopper H100</v>
      </c>
      <c r="E4" s="90" t="str">
        <f aca="false">Perf_Batch!E4</f>
        <v>Hopper H100</v>
      </c>
      <c r="F4" s="90" t="str">
        <f aca="false">Perf_Batch!F4</f>
        <v>GB200 NVL72</v>
      </c>
      <c r="G4" s="90" t="str">
        <f aca="false">Perf_Batch!G4</f>
        <v>GB200 NVL72</v>
      </c>
      <c r="H4" s="90" t="str">
        <f aca="false">Perf_Batch!H4</f>
        <v>GB200 NVL72</v>
      </c>
      <c r="I4" s="90" t="str">
        <f aca="false">Perf_Batch!I4</f>
        <v>GB300 NVL72</v>
      </c>
      <c r="J4" s="90" t="str">
        <f aca="false">Perf_Batch!J4</f>
        <v>GB300 NVL72</v>
      </c>
      <c r="K4" s="90" t="str">
        <f aca="false">Perf_Batch!K4</f>
        <v>GB300 NVL72</v>
      </c>
      <c r="L4" s="90" t="str">
        <f aca="false">Perf_Batch!L4</f>
        <v>VR200 NVL72</v>
      </c>
      <c r="M4" s="90" t="str">
        <f aca="false">Perf_Batch!M4</f>
        <v>VR200 NVL72</v>
      </c>
      <c r="N4" s="90" t="str">
        <f aca="false">Perf_Batch!N4</f>
        <v>VR200 NVL72</v>
      </c>
      <c r="O4" s="90" t="str">
        <f aca="false">Perf_Batch!O4</f>
        <v>Rubin Ultra（MGX NVL 單架，72 GPU）</v>
      </c>
      <c r="P4" s="90" t="str">
        <f aca="false">Perf_Batch!P4</f>
        <v>Rubin Ultra（MGX NVL 單架，72 GPU）</v>
      </c>
      <c r="Q4" s="90" t="str">
        <f aca="false">Perf_Batch!Q4</f>
        <v>Rubin Ultra（MGX NVL 單架，72 GPU）</v>
      </c>
      <c r="S4" s="90" t="str">
        <f aca="false">Perf_Batch!C4</f>
        <v>Hopper H100</v>
      </c>
      <c r="T4" s="90" t="str">
        <f aca="false">Perf_Batch!D4</f>
        <v>Hopper H100</v>
      </c>
      <c r="U4" s="90" t="str">
        <f aca="false">Perf_Batch!E4</f>
        <v>Hopper H100</v>
      </c>
      <c r="V4" s="90" t="str">
        <f aca="false">Perf_Batch!F4</f>
        <v>GB200 NVL72</v>
      </c>
      <c r="W4" s="90" t="str">
        <f aca="false">Perf_Batch!G4</f>
        <v>GB200 NVL72</v>
      </c>
      <c r="X4" s="90" t="str">
        <f aca="false">Perf_Batch!H4</f>
        <v>GB200 NVL72</v>
      </c>
      <c r="Y4" s="90" t="str">
        <f aca="false">Perf_Batch!I4</f>
        <v>GB300 NVL72</v>
      </c>
      <c r="Z4" s="90" t="str">
        <f aca="false">Perf_Batch!J4</f>
        <v>GB300 NVL72</v>
      </c>
      <c r="AA4" s="90" t="str">
        <f aca="false">Perf_Batch!K4</f>
        <v>GB300 NVL72</v>
      </c>
      <c r="AB4" s="90" t="str">
        <f aca="false">Perf_Batch!L4</f>
        <v>VR200 NVL72</v>
      </c>
      <c r="AC4" s="90" t="str">
        <f aca="false">Perf_Batch!M4</f>
        <v>VR200 NVL72</v>
      </c>
      <c r="AD4" s="90" t="str">
        <f aca="false">Perf_Batch!N4</f>
        <v>VR200 NVL72</v>
      </c>
      <c r="AE4" s="90" t="str">
        <f aca="false">Perf_Batch!O4</f>
        <v>Rubin Ultra（MGX NVL 單架，72 GPU）</v>
      </c>
      <c r="AF4" s="90" t="str">
        <f aca="false">Perf_Batch!P4</f>
        <v>Rubin Ultra（MGX NVL 單架，72 GPU）</v>
      </c>
      <c r="AG4" s="90" t="str">
        <f aca="false">Perf_Batch!Q4</f>
        <v>Rubin Ultra（MGX NVL 單架，72 GPU）</v>
      </c>
    </row>
    <row r="5" customFormat="false" ht="15" hidden="false" customHeight="false" outlineLevel="0" collapsed="false">
      <c r="A5" s="90" t="str">
        <f aca="false">Perf_Batch!A5</f>
        <v>層級</v>
      </c>
      <c r="C5" s="90" t="str">
        <f aca="false">Perf_Batch!C5</f>
        <v>Luna（低層）</v>
      </c>
      <c r="D5" s="90" t="str">
        <f aca="false">Perf_Batch!D5</f>
        <v>Sol（中層）</v>
      </c>
      <c r="E5" s="90" t="str">
        <f aca="false">Perf_Batch!E5</f>
        <v>Astra（頂層）</v>
      </c>
      <c r="F5" s="90" t="str">
        <f aca="false">Perf_Batch!F5</f>
        <v>Luna（低層）</v>
      </c>
      <c r="G5" s="90" t="str">
        <f aca="false">Perf_Batch!G5</f>
        <v>Sol（中層）</v>
      </c>
      <c r="H5" s="90" t="str">
        <f aca="false">Perf_Batch!H5</f>
        <v>Astra（頂層）</v>
      </c>
      <c r="I5" s="90" t="str">
        <f aca="false">Perf_Batch!I5</f>
        <v>Luna（低層）</v>
      </c>
      <c r="J5" s="90" t="str">
        <f aca="false">Perf_Batch!J5</f>
        <v>Sol（中層）</v>
      </c>
      <c r="K5" s="90" t="str">
        <f aca="false">Perf_Batch!K5</f>
        <v>Astra（頂層）</v>
      </c>
      <c r="L5" s="90" t="str">
        <f aca="false">Perf_Batch!L5</f>
        <v>Luna（低層）</v>
      </c>
      <c r="M5" s="90" t="str">
        <f aca="false">Perf_Batch!M5</f>
        <v>Sol（中層）</v>
      </c>
      <c r="N5" s="90" t="str">
        <f aca="false">Perf_Batch!N5</f>
        <v>Astra（頂層）</v>
      </c>
      <c r="O5" s="90" t="str">
        <f aca="false">Perf_Batch!O5</f>
        <v>Luna（低層）</v>
      </c>
      <c r="P5" s="90" t="str">
        <f aca="false">Perf_Batch!P5</f>
        <v>Sol（中層）</v>
      </c>
      <c r="Q5" s="90" t="str">
        <f aca="false">Perf_Batch!Q5</f>
        <v>Astra（頂層）</v>
      </c>
      <c r="S5" s="90" t="str">
        <f aca="false">Perf_Batch!C5</f>
        <v>Luna（低層）</v>
      </c>
      <c r="T5" s="90" t="str">
        <f aca="false">Perf_Batch!D5</f>
        <v>Sol（中層）</v>
      </c>
      <c r="U5" s="90" t="str">
        <f aca="false">Perf_Batch!E5</f>
        <v>Astra（頂層）</v>
      </c>
      <c r="V5" s="90" t="str">
        <f aca="false">Perf_Batch!F5</f>
        <v>Luna（低層）</v>
      </c>
      <c r="W5" s="90" t="str">
        <f aca="false">Perf_Batch!G5</f>
        <v>Sol（中層）</v>
      </c>
      <c r="X5" s="90" t="str">
        <f aca="false">Perf_Batch!H5</f>
        <v>Astra（頂層）</v>
      </c>
      <c r="Y5" s="90" t="str">
        <f aca="false">Perf_Batch!I5</f>
        <v>Luna（低層）</v>
      </c>
      <c r="Z5" s="90" t="str">
        <f aca="false">Perf_Batch!J5</f>
        <v>Sol（中層）</v>
      </c>
      <c r="AA5" s="90" t="str">
        <f aca="false">Perf_Batch!K5</f>
        <v>Astra（頂層）</v>
      </c>
      <c r="AB5" s="90" t="str">
        <f aca="false">Perf_Batch!L5</f>
        <v>Luna（低層）</v>
      </c>
      <c r="AC5" s="90" t="str">
        <f aca="false">Perf_Batch!M5</f>
        <v>Sol（中層）</v>
      </c>
      <c r="AD5" s="90" t="str">
        <f aca="false">Perf_Batch!N5</f>
        <v>Astra（頂層）</v>
      </c>
      <c r="AE5" s="90" t="str">
        <f aca="false">Perf_Batch!O5</f>
        <v>Luna（低層）</v>
      </c>
      <c r="AF5" s="90" t="str">
        <f aca="false">Perf_Batch!P5</f>
        <v>Sol（中層）</v>
      </c>
      <c r="AG5" s="90" t="str">
        <f aca="false">Perf_Batch!Q5</f>
        <v>Astra（頂層）</v>
      </c>
    </row>
    <row r="6" customFormat="false" ht="15" hidden="false" customHeight="false" outlineLevel="0" collapsed="false">
      <c r="A6" s="90" t="str">
        <f aca="false">Perf_Batch!A6</f>
        <v>世代索引</v>
      </c>
      <c r="C6" s="87" t="n">
        <f aca="false">Perf_Batch!C6</f>
        <v>1</v>
      </c>
      <c r="D6" s="87" t="n">
        <f aca="false">Perf_Batch!D6</f>
        <v>1</v>
      </c>
      <c r="E6" s="87" t="n">
        <f aca="false">Perf_Batch!E6</f>
        <v>1</v>
      </c>
      <c r="F6" s="87" t="n">
        <f aca="false">Perf_Batch!F6</f>
        <v>2</v>
      </c>
      <c r="G6" s="87" t="n">
        <f aca="false">Perf_Batch!G6</f>
        <v>2</v>
      </c>
      <c r="H6" s="87" t="n">
        <f aca="false">Perf_Batch!H6</f>
        <v>2</v>
      </c>
      <c r="I6" s="87" t="n">
        <f aca="false">Perf_Batch!I6</f>
        <v>3</v>
      </c>
      <c r="J6" s="87" t="n">
        <f aca="false">Perf_Batch!J6</f>
        <v>3</v>
      </c>
      <c r="K6" s="87" t="n">
        <f aca="false">Perf_Batch!K6</f>
        <v>3</v>
      </c>
      <c r="L6" s="87" t="n">
        <f aca="false">Perf_Batch!L6</f>
        <v>4</v>
      </c>
      <c r="M6" s="87" t="n">
        <f aca="false">Perf_Batch!M6</f>
        <v>4</v>
      </c>
      <c r="N6" s="87" t="n">
        <f aca="false">Perf_Batch!N6</f>
        <v>4</v>
      </c>
      <c r="O6" s="87" t="n">
        <f aca="false">Perf_Batch!O6</f>
        <v>5</v>
      </c>
      <c r="P6" s="87" t="n">
        <f aca="false">Perf_Batch!P6</f>
        <v>5</v>
      </c>
      <c r="Q6" s="87" t="n">
        <f aca="false">Perf_Batch!Q6</f>
        <v>5</v>
      </c>
      <c r="S6" s="87" t="n">
        <f aca="false">Perf_Batch!C6</f>
        <v>1</v>
      </c>
      <c r="T6" s="87" t="n">
        <f aca="false">Perf_Batch!D6</f>
        <v>1</v>
      </c>
      <c r="U6" s="87" t="n">
        <f aca="false">Perf_Batch!E6</f>
        <v>1</v>
      </c>
      <c r="V6" s="87" t="n">
        <f aca="false">Perf_Batch!F6</f>
        <v>2</v>
      </c>
      <c r="W6" s="87" t="n">
        <f aca="false">Perf_Batch!G6</f>
        <v>2</v>
      </c>
      <c r="X6" s="87" t="n">
        <f aca="false">Perf_Batch!H6</f>
        <v>2</v>
      </c>
      <c r="Y6" s="87" t="n">
        <f aca="false">Perf_Batch!I6</f>
        <v>3</v>
      </c>
      <c r="Z6" s="87" t="n">
        <f aca="false">Perf_Batch!J6</f>
        <v>3</v>
      </c>
      <c r="AA6" s="87" t="n">
        <f aca="false">Perf_Batch!K6</f>
        <v>3</v>
      </c>
      <c r="AB6" s="87" t="n">
        <f aca="false">Perf_Batch!L6</f>
        <v>4</v>
      </c>
      <c r="AC6" s="87" t="n">
        <f aca="false">Perf_Batch!M6</f>
        <v>4</v>
      </c>
      <c r="AD6" s="87" t="n">
        <f aca="false">Perf_Batch!N6</f>
        <v>4</v>
      </c>
      <c r="AE6" s="87" t="n">
        <f aca="false">Perf_Batch!O6</f>
        <v>5</v>
      </c>
      <c r="AF6" s="87" t="n">
        <f aca="false">Perf_Batch!P6</f>
        <v>5</v>
      </c>
      <c r="AG6" s="87" t="n">
        <f aca="false">Perf_Batch!Q6</f>
        <v>5</v>
      </c>
    </row>
    <row r="7" customFormat="false" ht="15" hidden="false" customHeight="false" outlineLevel="0" collapsed="false">
      <c r="A7" s="90" t="str">
        <f aca="false">Perf_Batch!A7</f>
        <v>層級索引</v>
      </c>
      <c r="C7" s="87" t="n">
        <f aca="false">Perf_Batch!C7</f>
        <v>1</v>
      </c>
      <c r="D7" s="87" t="n">
        <f aca="false">Perf_Batch!D7</f>
        <v>2</v>
      </c>
      <c r="E7" s="87" t="n">
        <f aca="false">Perf_Batch!E7</f>
        <v>3</v>
      </c>
      <c r="F7" s="87" t="n">
        <f aca="false">Perf_Batch!F7</f>
        <v>1</v>
      </c>
      <c r="G7" s="87" t="n">
        <f aca="false">Perf_Batch!G7</f>
        <v>2</v>
      </c>
      <c r="H7" s="87" t="n">
        <f aca="false">Perf_Batch!H7</f>
        <v>3</v>
      </c>
      <c r="I7" s="87" t="n">
        <f aca="false">Perf_Batch!I7</f>
        <v>1</v>
      </c>
      <c r="J7" s="87" t="n">
        <f aca="false">Perf_Batch!J7</f>
        <v>2</v>
      </c>
      <c r="K7" s="87" t="n">
        <f aca="false">Perf_Batch!K7</f>
        <v>3</v>
      </c>
      <c r="L7" s="87" t="n">
        <f aca="false">Perf_Batch!L7</f>
        <v>1</v>
      </c>
      <c r="M7" s="87" t="n">
        <f aca="false">Perf_Batch!M7</f>
        <v>2</v>
      </c>
      <c r="N7" s="87" t="n">
        <f aca="false">Perf_Batch!N7</f>
        <v>3</v>
      </c>
      <c r="O7" s="87" t="n">
        <f aca="false">Perf_Batch!O7</f>
        <v>1</v>
      </c>
      <c r="P7" s="87" t="n">
        <f aca="false">Perf_Batch!P7</f>
        <v>2</v>
      </c>
      <c r="Q7" s="87" t="n">
        <f aca="false">Perf_Batch!Q7</f>
        <v>3</v>
      </c>
      <c r="S7" s="87" t="n">
        <f aca="false">Perf_Batch!C7</f>
        <v>1</v>
      </c>
      <c r="T7" s="87" t="n">
        <f aca="false">Perf_Batch!D7</f>
        <v>2</v>
      </c>
      <c r="U7" s="87" t="n">
        <f aca="false">Perf_Batch!E7</f>
        <v>3</v>
      </c>
      <c r="V7" s="87" t="n">
        <f aca="false">Perf_Batch!F7</f>
        <v>1</v>
      </c>
      <c r="W7" s="87" t="n">
        <f aca="false">Perf_Batch!G7</f>
        <v>2</v>
      </c>
      <c r="X7" s="87" t="n">
        <f aca="false">Perf_Batch!H7</f>
        <v>3</v>
      </c>
      <c r="Y7" s="87" t="n">
        <f aca="false">Perf_Batch!I7</f>
        <v>1</v>
      </c>
      <c r="Z7" s="87" t="n">
        <f aca="false">Perf_Batch!J7</f>
        <v>2</v>
      </c>
      <c r="AA7" s="87" t="n">
        <f aca="false">Perf_Batch!K7</f>
        <v>3</v>
      </c>
      <c r="AB7" s="87" t="n">
        <f aca="false">Perf_Batch!L7</f>
        <v>1</v>
      </c>
      <c r="AC7" s="87" t="n">
        <f aca="false">Perf_Batch!M7</f>
        <v>2</v>
      </c>
      <c r="AD7" s="87" t="n">
        <f aca="false">Perf_Batch!N7</f>
        <v>3</v>
      </c>
      <c r="AE7" s="87" t="n">
        <f aca="false">Perf_Batch!O7</f>
        <v>1</v>
      </c>
      <c r="AF7" s="87" t="n">
        <f aca="false">Perf_Batch!P7</f>
        <v>2</v>
      </c>
      <c r="AG7" s="87" t="n">
        <f aca="false">Perf_Batch!Q7</f>
        <v>3</v>
      </c>
    </row>
    <row r="50" customFormat="false" ht="15" hidden="false" customHeight="false" outlineLevel="0" collapsed="false">
      <c r="A50" s="58" t="s">
        <v>354</v>
      </c>
      <c r="B50" s="56" t="s">
        <v>97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742</v>
      </c>
      <c r="B51" s="56" t="s">
        <v>93</v>
      </c>
      <c r="C51" s="107" t="n">
        <f aca="false">INDEX(Calib!$C$72:$G$72,Perf_Batch!C$6)*Perf_Batch_Prod!C50</f>
        <v>0.127435573521981</v>
      </c>
      <c r="D51" s="107" t="n">
        <f aca="false">INDEX(Calib!$C$72:$G$72,Perf_Batch!D$6)*Perf_Batch_Prod!D50</f>
        <v>0.127435573521981</v>
      </c>
      <c r="E51" s="107" t="n">
        <f aca="false">INDEX(Calib!$C$72:$G$72,Perf_Batch!E$6)*Perf_Batch_Prod!E50</f>
        <v>0.127435573521981</v>
      </c>
      <c r="F51" s="107" t="n">
        <f aca="false">INDEX(Calib!$C$72:$G$72,Perf_Batch!F$6)*Perf_Batch_Prod!F50</f>
        <v>0.255</v>
      </c>
      <c r="G51" s="107" t="n">
        <f aca="false">INDEX(Calib!$C$72:$G$72,Perf_Batch!G$6)*Perf_Batch_Prod!G50</f>
        <v>0.255</v>
      </c>
      <c r="H51" s="107" t="n">
        <f aca="false">INDEX(Calib!$C$72:$G$72,Perf_Batch!H$6)*Perf_Batch_Prod!H50</f>
        <v>0.255</v>
      </c>
      <c r="I51" s="107" t="n">
        <f aca="false">INDEX(Calib!$C$72:$G$72,Perf_Batch!I$6)*Perf_Batch_Prod!I50</f>
        <v>0.255</v>
      </c>
      <c r="J51" s="107" t="n">
        <f aca="false">INDEX(Calib!$C$72:$G$72,Perf_Batch!J$6)*Perf_Batch_Prod!J50</f>
        <v>0.255</v>
      </c>
      <c r="K51" s="107" t="n">
        <f aca="false">INDEX(Calib!$C$72:$G$72,Perf_Batch!K$6)*Perf_Batch_Prod!K50</f>
        <v>0.255</v>
      </c>
      <c r="L51" s="107" t="n">
        <f aca="false">INDEX(Calib!$C$72:$G$72,Perf_Batch!L$6)*Perf_Batch_Prod!L50</f>
        <v>0.255</v>
      </c>
      <c r="M51" s="107" t="n">
        <f aca="false">INDEX(Calib!$C$72:$G$72,Perf_Batch!M$6)*Perf_Batch_Prod!M50</f>
        <v>0.255</v>
      </c>
      <c r="N51" s="107" t="n">
        <f aca="false">INDEX(Calib!$C$72:$G$72,Perf_Batch!N$6)*Perf_Batch_Prod!N50</f>
        <v>0.255</v>
      </c>
      <c r="O51" s="107" t="n">
        <f aca="false">INDEX(Calib!$C$72:$G$72,Perf_Batch!O$6)*Perf_Batch_Prod!O50</f>
        <v>0.255</v>
      </c>
      <c r="P51" s="107" t="n">
        <f aca="false">INDEX(Calib!$C$72:$G$72,Perf_Batch!P$6)*Perf_Batch_Prod!P50</f>
        <v>0.255</v>
      </c>
      <c r="Q51" s="107" t="n">
        <f aca="false">INDEX(Calib!$C$72:$G$72,Perf_Batch!Q$6)*Perf_Batch_Prod!Q50</f>
        <v>0.255</v>
      </c>
      <c r="S51" s="107" t="n">
        <f aca="false">INDEX(Calib!$C$72:$G$72,Perf_Batch!C$6)*Perf_Batch_Prod!S50</f>
        <v>0.149924204143507</v>
      </c>
      <c r="T51" s="107" t="n">
        <f aca="false">INDEX(Calib!$C$72:$G$72,Perf_Batch!D$6)*Perf_Batch_Prod!T50</f>
        <v>0.149924204143507</v>
      </c>
      <c r="U51" s="107" t="n">
        <f aca="false">INDEX(Calib!$C$72:$G$72,Perf_Batch!E$6)*Perf_Batch_Prod!U50</f>
        <v>0.149924204143507</v>
      </c>
      <c r="V51" s="107" t="n">
        <f aca="false">INDEX(Calib!$C$72:$G$72,Perf_Batch!F$6)*Perf_Batch_Prod!V50</f>
        <v>0.3</v>
      </c>
      <c r="W51" s="107" t="n">
        <f aca="false">INDEX(Calib!$C$72:$G$72,Perf_Batch!G$6)*Perf_Batch_Prod!W50</f>
        <v>0.3</v>
      </c>
      <c r="X51" s="107" t="n">
        <f aca="false">INDEX(Calib!$C$72:$G$72,Perf_Batch!H$6)*Perf_Batch_Prod!X50</f>
        <v>0.3</v>
      </c>
      <c r="Y51" s="107" t="n">
        <f aca="false">INDEX(Calib!$C$72:$G$72,Perf_Batch!I$6)*Perf_Batch_Prod!Y50</f>
        <v>0.3</v>
      </c>
      <c r="Z51" s="107" t="n">
        <f aca="false">INDEX(Calib!$C$72:$G$72,Perf_Batch!J$6)*Perf_Batch_Prod!Z50</f>
        <v>0.3</v>
      </c>
      <c r="AA51" s="107" t="n">
        <f aca="false">INDEX(Calib!$C$72:$G$72,Perf_Batch!K$6)*Perf_Batch_Prod!AA50</f>
        <v>0.3</v>
      </c>
      <c r="AB51" s="107" t="n">
        <f aca="false">INDEX(Calib!$C$72:$G$72,Perf_Batch!L$6)*Perf_Batch_Prod!AB50</f>
        <v>0.3</v>
      </c>
      <c r="AC51" s="107" t="n">
        <f aca="false">INDEX(Calib!$C$72:$G$72,Perf_Batch!M$6)*Perf_Batch_Prod!AC50</f>
        <v>0.3</v>
      </c>
      <c r="AD51" s="107" t="n">
        <f aca="false">INDEX(Calib!$C$72:$G$72,Perf_Batch!N$6)*Perf_Batch_Prod!AD50</f>
        <v>0.3</v>
      </c>
      <c r="AE51" s="107" t="n">
        <f aca="false">INDEX(Calib!$C$72:$G$72,Perf_Batch!O$6)*Perf_Batch_Prod!AE50</f>
        <v>0.3</v>
      </c>
      <c r="AF51" s="107" t="n">
        <f aca="false">INDEX(Calib!$C$72:$G$72,Perf_Batch!P$6)*Perf_Batch_Prod!AF50</f>
        <v>0.3</v>
      </c>
      <c r="AG51" s="107" t="n">
        <f aca="false">INDEX(Calib!$C$72:$G$72,Perf_Batch!Q$6)*Perf_Batch_Prod!AG50</f>
        <v>0.3</v>
      </c>
    </row>
    <row r="53" customFormat="false" ht="15" hidden="false" customHeight="false" outlineLevel="0" collapsed="false">
      <c r="A53" s="59" t="s">
        <v>744</v>
      </c>
      <c r="B53" s="56" t="s">
        <v>93</v>
      </c>
      <c r="C53" s="108" t="n">
        <f aca="false">INDEX(Calib!$C$70:$G$70,Perf_Batch!C$6)*Perf_Batch!C52*Perf_Batch_Prod!C50*INDEX(CAL_BatchEtaD,1,Perf_Batch!C$6)</f>
        <v>0.0455876677123516</v>
      </c>
      <c r="D53" s="108" t="n">
        <f aca="false">INDEX(Calib!$C$70:$G$70,Perf_Batch!D$6)*Perf_Batch!D52*Perf_Batch_Prod!D50*INDEX(CAL_BatchEtaD,1,Perf_Batch!D$6)</f>
        <v>0.0455876677123516</v>
      </c>
      <c r="E53" s="108" t="n">
        <f aca="false">INDEX(Calib!$C$70:$G$70,Perf_Batch!E$6)*Perf_Batch!E52*Perf_Batch_Prod!E50*INDEX(CAL_BatchEtaD,1,Perf_Batch!E$6)</f>
        <v>0.0455876677123516</v>
      </c>
      <c r="F53" s="108" t="n">
        <f aca="false">INDEX(Calib!$C$70:$G$70,Perf_Batch!F$6)*Perf_Batch!F52*Perf_Batch_Prod!F50*INDEX(CAL_BatchEtaD,1,Perf_Batch!F$6)</f>
        <v>0.0303917784749011</v>
      </c>
      <c r="G53" s="108" t="n">
        <f aca="false">INDEX(Calib!$C$70:$G$70,Perf_Batch!G$6)*Perf_Batch!G52*Perf_Batch_Prod!G50*INDEX(CAL_BatchEtaD,1,Perf_Batch!G$6)</f>
        <v>0.0303917784749011</v>
      </c>
      <c r="H53" s="108" t="n">
        <f aca="false">INDEX(Calib!$C$70:$G$70,Perf_Batch!H$6)*Perf_Batch!H52*Perf_Batch_Prod!H50*INDEX(CAL_BatchEtaD,1,Perf_Batch!H$6)</f>
        <v>0.0303917784749011</v>
      </c>
      <c r="I53" s="108" t="n">
        <f aca="false">INDEX(Calib!$C$70:$G$70,Perf_Batch!I$6)*Perf_Batch!I52*Perf_Batch_Prod!I50*INDEX(CAL_BatchEtaD,1,Perf_Batch!I$6)</f>
        <v>0.0303917784749011</v>
      </c>
      <c r="J53" s="108" t="n">
        <f aca="false">INDEX(Calib!$C$70:$G$70,Perf_Batch!J$6)*Perf_Batch!J52*Perf_Batch_Prod!J50*INDEX(CAL_BatchEtaD,1,Perf_Batch!J$6)</f>
        <v>0.0303917784749011</v>
      </c>
      <c r="K53" s="108" t="n">
        <f aca="false">INDEX(Calib!$C$70:$G$70,Perf_Batch!K$6)*Perf_Batch!K52*Perf_Batch_Prod!K50*INDEX(CAL_BatchEtaD,1,Perf_Batch!K$6)</f>
        <v>0.0303917784749011</v>
      </c>
      <c r="L53" s="108" t="n">
        <f aca="false">INDEX(Calib!$C$70:$G$70,Perf_Batch!L$6)*Perf_Batch!L52*Perf_Batch_Prod!L50*INDEX(CAL_BatchEtaD,1,Perf_Batch!L$6)</f>
        <v>0.0227938338561758</v>
      </c>
      <c r="M53" s="108" t="n">
        <f aca="false">INDEX(Calib!$C$70:$G$70,Perf_Batch!M$6)*Perf_Batch!M52*Perf_Batch_Prod!M50*INDEX(CAL_BatchEtaD,1,Perf_Batch!M$6)</f>
        <v>0.0227938338561758</v>
      </c>
      <c r="N53" s="108" t="n">
        <f aca="false">INDEX(Calib!$C$70:$G$70,Perf_Batch!N$6)*Perf_Batch!N52*Perf_Batch_Prod!N50*INDEX(CAL_BatchEtaD,1,Perf_Batch!N$6)</f>
        <v>0.0227938338561758</v>
      </c>
      <c r="O53" s="108" t="n">
        <f aca="false">INDEX(Calib!$C$70:$G$70,Perf_Batch!O$6)*Perf_Batch!O52*Perf_Batch_Prod!O50*INDEX(CAL_BatchEtaD,1,Perf_Batch!O$6)</f>
        <v>0.0303917784749011</v>
      </c>
      <c r="P53" s="108" t="n">
        <f aca="false">INDEX(Calib!$C$70:$G$70,Perf_Batch!P$6)*Perf_Batch!P52*Perf_Batch_Prod!P50*INDEX(CAL_BatchEtaD,1,Perf_Batch!P$6)</f>
        <v>0.0303917784749011</v>
      </c>
      <c r="Q53" s="108" t="n">
        <f aca="false">INDEX(Calib!$C$70:$G$70,Perf_Batch!Q$6)*Perf_Batch!Q52*Perf_Batch_Prod!Q50*INDEX(CAL_BatchEtaD,1,Perf_Batch!Q$6)</f>
        <v>0.0303917784749011</v>
      </c>
      <c r="S53" s="108" t="n">
        <f aca="false">INDEX(Calib!$C$70:$G$70,Perf_Batch!C$6)*Perf_Batch!C52*Perf_Batch_Prod!S50*INDEX(CAL_BatchEtaD,1,Perf_Batch!C$6)</f>
        <v>0.0536325502498254</v>
      </c>
      <c r="T53" s="108" t="n">
        <f aca="false">INDEX(Calib!$C$70:$G$70,Perf_Batch!D$6)*Perf_Batch!D52*Perf_Batch_Prod!T50*INDEX(CAL_BatchEtaD,1,Perf_Batch!D$6)</f>
        <v>0.0536325502498254</v>
      </c>
      <c r="U53" s="108" t="n">
        <f aca="false">INDEX(Calib!$C$70:$G$70,Perf_Batch!E$6)*Perf_Batch!E52*Perf_Batch_Prod!U50*INDEX(CAL_BatchEtaD,1,Perf_Batch!E$6)</f>
        <v>0.0536325502498254</v>
      </c>
      <c r="V53" s="108" t="n">
        <f aca="false">INDEX(Calib!$C$70:$G$70,Perf_Batch!F$6)*Perf_Batch!F52*Perf_Batch_Prod!V50*INDEX(CAL_BatchEtaD,1,Perf_Batch!F$6)</f>
        <v>0.0357550334998836</v>
      </c>
      <c r="W53" s="108" t="n">
        <f aca="false">INDEX(Calib!$C$70:$G$70,Perf_Batch!G$6)*Perf_Batch!G52*Perf_Batch_Prod!W50*INDEX(CAL_BatchEtaD,1,Perf_Batch!G$6)</f>
        <v>0.0357550334998836</v>
      </c>
      <c r="X53" s="108" t="n">
        <f aca="false">INDEX(Calib!$C$70:$G$70,Perf_Batch!H$6)*Perf_Batch!H52*Perf_Batch_Prod!X50*INDEX(CAL_BatchEtaD,1,Perf_Batch!H$6)</f>
        <v>0.0357550334998836</v>
      </c>
      <c r="Y53" s="108" t="n">
        <f aca="false">INDEX(Calib!$C$70:$G$70,Perf_Batch!I$6)*Perf_Batch!I52*Perf_Batch_Prod!Y50*INDEX(CAL_BatchEtaD,1,Perf_Batch!I$6)</f>
        <v>0.0357550334998836</v>
      </c>
      <c r="Z53" s="108" t="n">
        <f aca="false">INDEX(Calib!$C$70:$G$70,Perf_Batch!J$6)*Perf_Batch!J52*Perf_Batch_Prod!Z50*INDEX(CAL_BatchEtaD,1,Perf_Batch!J$6)</f>
        <v>0.0357550334998836</v>
      </c>
      <c r="AA53" s="108" t="n">
        <f aca="false">INDEX(Calib!$C$70:$G$70,Perf_Batch!K$6)*Perf_Batch!K52*Perf_Batch_Prod!AA50*INDEX(CAL_BatchEtaD,1,Perf_Batch!K$6)</f>
        <v>0.0357550334998836</v>
      </c>
      <c r="AB53" s="108" t="n">
        <f aca="false">INDEX(Calib!$C$70:$G$70,Perf_Batch!L$6)*Perf_Batch!L52*Perf_Batch_Prod!AB50*INDEX(CAL_BatchEtaD,1,Perf_Batch!L$6)</f>
        <v>0.0268162751249127</v>
      </c>
      <c r="AC53" s="108" t="n">
        <f aca="false">INDEX(Calib!$C$70:$G$70,Perf_Batch!M$6)*Perf_Batch!M52*Perf_Batch_Prod!AC50*INDEX(CAL_BatchEtaD,1,Perf_Batch!M$6)</f>
        <v>0.0268162751249127</v>
      </c>
      <c r="AD53" s="108" t="n">
        <f aca="false">INDEX(Calib!$C$70:$G$70,Perf_Batch!N$6)*Perf_Batch!N52*Perf_Batch_Prod!AD50*INDEX(CAL_BatchEtaD,1,Perf_Batch!N$6)</f>
        <v>0.0268162751249127</v>
      </c>
      <c r="AE53" s="108" t="n">
        <f aca="false">INDEX(Calib!$C$70:$G$70,Perf_Batch!O$6)*Perf_Batch!O52*Perf_Batch_Prod!AE50*INDEX(CAL_BatchEtaD,1,Perf_Batch!O$6)</f>
        <v>0.0357550334998836</v>
      </c>
      <c r="AF53" s="108" t="n">
        <f aca="false">INDEX(Calib!$C$70:$G$70,Perf_Batch!P$6)*Perf_Batch!P52*Perf_Batch_Prod!AF50*INDEX(CAL_BatchEtaD,1,Perf_Batch!P$6)</f>
        <v>0.0357550334998836</v>
      </c>
      <c r="AG53" s="108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746</v>
      </c>
      <c r="B55" s="56" t="s">
        <v>502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9" t="s">
        <v>762</v>
      </c>
      <c r="B75" s="56" t="s">
        <v>359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766</v>
      </c>
      <c r="B79" s="56" t="s">
        <v>492</v>
      </c>
      <c r="C79" s="93" t="n">
        <f aca="false">Perf_Batch!C72/Perf_Batch!C16+(Perf_Batch!C29+Perf_Batch!C47)*Perf_Batch_Prod!C55/1000</f>
        <v>15.9993635766828</v>
      </c>
      <c r="D79" s="93" t="n">
        <f aca="false">Perf_Batch!D72/Perf_Batch!D16+(Perf_Batch!D29+Perf_Batch!D47)*Perf_Batch_Prod!D55/1000</f>
        <v>28.5991030950805</v>
      </c>
      <c r="E79" s="93" t="n">
        <f aca="false">Perf_Batch!E72/Perf_Batch!E16+(Perf_Batch!E29+Perf_Batch!E47)*Perf_Batch_Prod!E55/1000</f>
        <v>41.5061799059401</v>
      </c>
      <c r="F79" s="93" t="n">
        <f aca="false">Perf_Batch!F72/Perf_Batch!F16+(Perf_Batch!F29+Perf_Batch!F47)*Perf_Batch_Prod!F55/1000</f>
        <v>10.0116030761141</v>
      </c>
      <c r="G79" s="93" t="n">
        <f aca="false">Perf_Batch!G72/Perf_Batch!G16+(Perf_Batch!G29+Perf_Batch!G47)*Perf_Batch_Prod!G55/1000</f>
        <v>18.1420993705793</v>
      </c>
      <c r="H79" s="93" t="n">
        <f aca="false">Perf_Batch!H72/Perf_Batch!H16+(Perf_Batch!H29+Perf_Batch!H47)*Perf_Batch_Prod!H55/1000</f>
        <v>30.769482681035</v>
      </c>
      <c r="I79" s="93" t="n">
        <f aca="false">Perf_Batch!I72/Perf_Batch!I16+(Perf_Batch!I29+Perf_Batch!I47)*Perf_Batch_Prod!I55/1000</f>
        <v>10.0116030761141</v>
      </c>
      <c r="J79" s="93" t="n">
        <f aca="false">Perf_Batch!J72/Perf_Batch!J16+(Perf_Batch!J29+Perf_Batch!J47)*Perf_Batch_Prod!J55/1000</f>
        <v>18.1420993705793</v>
      </c>
      <c r="K79" s="93" t="n">
        <f aca="false">Perf_Batch!K72/Perf_Batch!K16+(Perf_Batch!K29+Perf_Batch!K47)*Perf_Batch_Prod!K55/1000</f>
        <v>34.3471799716763</v>
      </c>
      <c r="L79" s="93" t="n">
        <f aca="false">Perf_Batch!L72/Perf_Batch!L16+(Perf_Batch!L29+Perf_Batch!L47)*Perf_Batch_Prod!L55/1000</f>
        <v>9.19156463506294</v>
      </c>
      <c r="M79" s="93" t="n">
        <f aca="false">Perf_Batch!M72/Perf_Batch!M16+(Perf_Batch!M29+Perf_Batch!M47)*Perf_Batch_Prod!M55/1000</f>
        <v>14.3202320153868</v>
      </c>
      <c r="N79" s="93" t="n">
        <f aca="false">Perf_Batch!N72/Perf_Batch!N16+(Perf_Batch!N29+Perf_Batch!N47)*Perf_Batch_Prod!N55/1000</f>
        <v>24.9192556896359</v>
      </c>
      <c r="O79" s="93" t="n">
        <f aca="false">Perf_Batch!O72/Perf_Batch!O16+(Perf_Batch!O29+Perf_Batch!O47)*Perf_Batch_Prod!O55/1000</f>
        <v>8.96861271966877</v>
      </c>
      <c r="P79" s="93" t="n">
        <f aca="false">Perf_Batch!P72/Perf_Batch!P16+(Perf_Batch!P29+Perf_Batch!P47)*Perf_Batch_Prod!P55/1000</f>
        <v>13.2038720349673</v>
      </c>
      <c r="Q79" s="93" t="n">
        <f aca="false">Perf_Batch!Q72/Perf_Batch!Q16+(Perf_Batch!Q29+Perf_Batch!Q47)*Perf_Batch_Prod!Q55/1000</f>
        <v>22.1505431564514</v>
      </c>
      <c r="S79" s="93" t="n">
        <f aca="false">Perf_Batch!C72/Perf_Batch!C16+(Perf_Batch!C29+Perf_Batch!C47)*Perf_Batch_Prod!S55/1000</f>
        <v>14.0366950476431</v>
      </c>
      <c r="T79" s="93" t="n">
        <f aca="false">Perf_Batch!D72/Perf_Batch!D16+(Perf_Batch!D29+Perf_Batch!D47)*Perf_Batch_Prod!T55/1000</f>
        <v>25.8684338372861</v>
      </c>
      <c r="U79" s="93" t="n">
        <f aca="false">Perf_Batch!E72/Perf_Batch!E16+(Perf_Batch!E29+Perf_Batch!E47)*Perf_Batch_Prod!U55/1000</f>
        <v>37.1115090691772</v>
      </c>
      <c r="V79" s="93" t="n">
        <f aca="false">Perf_Batch!F72/Perf_Batch!F16+(Perf_Batch!F29+Perf_Batch!F47)*Perf_Batch_Prod!V55/1000</f>
        <v>8.70315739008759</v>
      </c>
      <c r="W79" s="93" t="n">
        <f aca="false">Perf_Batch!G72/Perf_Batch!G16+(Perf_Batch!G29+Perf_Batch!G47)*Perf_Batch_Prod!W55/1000</f>
        <v>16.3216531987164</v>
      </c>
      <c r="X79" s="93" t="n">
        <f aca="false">Perf_Batch!H72/Perf_Batch!H16+(Perf_Batch!H29+Perf_Batch!H47)*Perf_Batch_Prod!X55/1000</f>
        <v>27.8397021231931</v>
      </c>
      <c r="Y79" s="93" t="n">
        <f aca="false">Perf_Batch!I72/Perf_Batch!I16+(Perf_Batch!I29+Perf_Batch!I47)*Perf_Batch_Prod!Y55/1000</f>
        <v>8.70315739008759</v>
      </c>
      <c r="Z79" s="93" t="n">
        <f aca="false">Perf_Batch!J72/Perf_Batch!J16+(Perf_Batch!J29+Perf_Batch!J47)*Perf_Batch_Prod!Z55/1000</f>
        <v>16.3216531987164</v>
      </c>
      <c r="AA79" s="93" t="n">
        <f aca="false">Perf_Batch!K72/Perf_Batch!K16+(Perf_Batch!K29+Perf_Batch!K47)*Perf_Batch_Prod!AA55/1000</f>
        <v>31.4173994138344</v>
      </c>
      <c r="AB79" s="93" t="n">
        <f aca="false">Perf_Batch!L72/Perf_Batch!L16+(Perf_Batch!L29+Perf_Batch!L47)*Perf_Batch_Prod!AB55/1000</f>
        <v>7.88311894903646</v>
      </c>
      <c r="AC79" s="93" t="n">
        <f aca="false">Perf_Batch!M72/Perf_Batch!M16+(Perf_Batch!M29+Perf_Batch!M47)*Perf_Batch_Prod!AC55/1000</f>
        <v>12.4997858435238</v>
      </c>
      <c r="AD79" s="93" t="n">
        <f aca="false">Perf_Batch!N72/Perf_Batch!N16+(Perf_Batch!N29+Perf_Batch!N47)*Perf_Batch_Prod!AD55/1000</f>
        <v>21.989475131794</v>
      </c>
      <c r="AE79" s="93" t="n">
        <f aca="false">Perf_Batch!O72/Perf_Batch!O16+(Perf_Batch!O29+Perf_Batch!O47)*Perf_Batch_Prod!AE55/1000</f>
        <v>7.66016703364228</v>
      </c>
      <c r="AF79" s="93" t="n">
        <f aca="false">Perf_Batch!P72/Perf_Batch!P16+(Perf_Batch!P29+Perf_Batch!P47)*Perf_Batch_Prod!AF55/1000</f>
        <v>11.3834258631044</v>
      </c>
      <c r="AG79" s="93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767</v>
      </c>
      <c r="B80" s="56" t="s">
        <v>492</v>
      </c>
      <c r="C80" s="94" t="n">
        <f aca="false">(Perf_Batch!C47+1)*Perf_Batch!C65/(Perf_Batch!C14*Perf_Batch_Prod!C53)/1000</f>
        <v>1.71660640843004</v>
      </c>
      <c r="D80" s="94" t="n">
        <f aca="false">(Perf_Batch!D47+1)*Perf_Batch!D65/(Perf_Batch!D14*Perf_Batch_Prod!D53)/1000</f>
        <v>5.91064989175372</v>
      </c>
      <c r="E80" s="94" t="n">
        <f aca="false">(Perf_Batch!E47+1)*Perf_Batch!E65/(Perf_Batch!E14*Perf_Batch_Prod!E53)/1000</f>
        <v>23.1023213073844</v>
      </c>
      <c r="F80" s="94" t="n">
        <f aca="false">(Perf_Batch!F47+1)*Perf_Batch!F65/(Perf_Batch!F14*Perf_Batch_Prod!F53)/1000</f>
        <v>0.509574612342459</v>
      </c>
      <c r="G80" s="94" t="n">
        <f aca="false">(Perf_Batch!G47+1)*Perf_Batch!G65/(Perf_Batch!G14*Perf_Batch_Prod!G53)/1000</f>
        <v>1.75457642036709</v>
      </c>
      <c r="H80" s="94" t="n">
        <f aca="false">(Perf_Batch!H47+1)*Perf_Batch!H65/(Perf_Batch!H14*Perf_Batch_Prod!H53)/1000</f>
        <v>6.85792408009707</v>
      </c>
      <c r="I80" s="94" t="n">
        <f aca="false">(Perf_Batch!I47+1)*Perf_Batch!I65/(Perf_Batch!I14*Perf_Batch_Prod!I53)/1000</f>
        <v>0.339716408228306</v>
      </c>
      <c r="J80" s="94" t="n">
        <f aca="false">(Perf_Batch!J47+1)*Perf_Batch!J65/(Perf_Batch!J14*Perf_Batch_Prod!J53)/1000</f>
        <v>1.16971761357806</v>
      </c>
      <c r="K80" s="94" t="n">
        <f aca="false">(Perf_Batch!K47+1)*Perf_Batch!K65/(Perf_Batch!K14*Perf_Batch_Prod!K53)/1000</f>
        <v>4.57194938673138</v>
      </c>
      <c r="L80" s="94" t="n">
        <f aca="false">(Perf_Batch!L47+1)*Perf_Batch!L65/(Perf_Batch!L14*Perf_Batch_Prod!L53)/1000</f>
        <v>0.194123661844746</v>
      </c>
      <c r="M80" s="94" t="n">
        <f aca="false">(Perf_Batch!M47+1)*Perf_Batch!M65/(Perf_Batch!M14*Perf_Batch_Prod!M53)/1000</f>
        <v>0.66841006490175</v>
      </c>
      <c r="N80" s="94" t="n">
        <f aca="false">(Perf_Batch!N47+1)*Perf_Batch!N65/(Perf_Batch!N14*Perf_Batch_Prod!N53)/1000</f>
        <v>2.61254250670365</v>
      </c>
      <c r="O80" s="94" t="n">
        <f aca="false">(Perf_Batch!O47+1)*Perf_Batch!O65/(Perf_Batch!O14*Perf_Batch_Prod!O53)/1000</f>
        <v>0.0727963731917798</v>
      </c>
      <c r="P80" s="94" t="n">
        <f aca="false">(Perf_Batch!P47+1)*Perf_Batch!P65/(Perf_Batch!P14*Perf_Batch_Prod!P53)/1000</f>
        <v>0.250653774338156</v>
      </c>
      <c r="Q80" s="94" t="n">
        <f aca="false">(Perf_Batch!Q47+1)*Perf_Batch!Q65/(Perf_Batch!Q14*Perf_Batch_Prod!Q53)/1000</f>
        <v>0.979703440013868</v>
      </c>
      <c r="S80" s="94" t="n">
        <f aca="false">(Perf_Batch!C47+1)*Perf_Batch!C65/(Perf_Batch!C14*Perf_Batch_Prod!S53)/1000</f>
        <v>1.45911544716554</v>
      </c>
      <c r="T80" s="94" t="n">
        <f aca="false">(Perf_Batch!D47+1)*Perf_Batch!D65/(Perf_Batch!D14*Perf_Batch_Prod!T53)/1000</f>
        <v>5.02405240799066</v>
      </c>
      <c r="U80" s="94" t="n">
        <f aca="false">(Perf_Batch!E47+1)*Perf_Batch!E65/(Perf_Batch!E14*Perf_Batch_Prod!U53)/1000</f>
        <v>19.6369731112768</v>
      </c>
      <c r="V80" s="94" t="n">
        <f aca="false">(Perf_Batch!F47+1)*Perf_Batch!F65/(Perf_Batch!F14*Perf_Batch_Prod!V53)/1000</f>
        <v>0.43313842049109</v>
      </c>
      <c r="W80" s="94" t="n">
        <f aca="false">(Perf_Batch!G47+1)*Perf_Batch!G65/(Perf_Batch!G14*Perf_Batch_Prod!W53)/1000</f>
        <v>1.49138995731203</v>
      </c>
      <c r="X80" s="94" t="n">
        <f aca="false">(Perf_Batch!H47+1)*Perf_Batch!H65/(Perf_Batch!H14*Perf_Batch_Prod!X53)/1000</f>
        <v>5.82923546808251</v>
      </c>
      <c r="Y80" s="94" t="n">
        <f aca="false">(Perf_Batch!I47+1)*Perf_Batch!I65/(Perf_Batch!I14*Perf_Batch_Prod!Y53)/1000</f>
        <v>0.28875894699406</v>
      </c>
      <c r="Z80" s="94" t="n">
        <f aca="false">(Perf_Batch!J47+1)*Perf_Batch!J65/(Perf_Batch!J14*Perf_Batch_Prod!Z53)/1000</f>
        <v>0.994259971541353</v>
      </c>
      <c r="AA80" s="94" t="n">
        <f aca="false">(Perf_Batch!K47+1)*Perf_Batch!K65/(Perf_Batch!K14*Perf_Batch_Prod!AA53)/1000</f>
        <v>3.88615697872167</v>
      </c>
      <c r="AB80" s="94" t="n">
        <f aca="false">(Perf_Batch!L47+1)*Perf_Batch!L65/(Perf_Batch!L14*Perf_Batch_Prod!AB53)/1000</f>
        <v>0.165005112568034</v>
      </c>
      <c r="AC80" s="94" t="n">
        <f aca="false">(Perf_Batch!M47+1)*Perf_Batch!M65/(Perf_Batch!M14*Perf_Batch_Prod!AC53)/1000</f>
        <v>0.568148555166487</v>
      </c>
      <c r="AD80" s="94" t="n">
        <f aca="false">(Perf_Batch!N47+1)*Perf_Batch!N65/(Perf_Batch!N14*Perf_Batch_Prod!AD53)/1000</f>
        <v>2.2206611306981</v>
      </c>
      <c r="AE80" s="94" t="n">
        <f aca="false">(Perf_Batch!O47+1)*Perf_Batch!O65/(Perf_Batch!O14*Perf_Batch_Prod!AE53)/1000</f>
        <v>0.0618769172130129</v>
      </c>
      <c r="AF80" s="94" t="n">
        <f aca="false">(Perf_Batch!P47+1)*Perf_Batch!P65/(Perf_Batch!P14*Perf_Batch_Prod!AF53)/1000</f>
        <v>0.213055708187433</v>
      </c>
      <c r="AG80" s="94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770</v>
      </c>
      <c r="B83" s="56" t="s">
        <v>492</v>
      </c>
      <c r="C83" s="94" t="n">
        <f aca="false">MAX(Perf_Batch_Prod!C80,Perf_Batch!C81,Perf_Batch!C82)</f>
        <v>1.71660640843004</v>
      </c>
      <c r="D83" s="94" t="n">
        <f aca="false">MAX(Perf_Batch_Prod!D80,Perf_Batch!D81,Perf_Batch!D82)</f>
        <v>5.91064989175372</v>
      </c>
      <c r="E83" s="94" t="n">
        <f aca="false">MAX(Perf_Batch_Prod!E80,Perf_Batch!E81,Perf_Batch!E82)</f>
        <v>23.1023213073844</v>
      </c>
      <c r="F83" s="94" t="n">
        <f aca="false">MAX(Perf_Batch_Prod!F80,Perf_Batch!F81,Perf_Batch!F82)</f>
        <v>0.509574612342459</v>
      </c>
      <c r="G83" s="94" t="n">
        <f aca="false">MAX(Perf_Batch_Prod!G80,Perf_Batch!G81,Perf_Batch!G82)</f>
        <v>1.75457642036709</v>
      </c>
      <c r="H83" s="94" t="n">
        <f aca="false">MAX(Perf_Batch_Prod!H80,Perf_Batch!H81,Perf_Batch!H82)</f>
        <v>6.85792408009707</v>
      </c>
      <c r="I83" s="94" t="n">
        <f aca="false">MAX(Perf_Batch_Prod!I80,Perf_Batch!I81,Perf_Batch!I82)</f>
        <v>0.339716408228306</v>
      </c>
      <c r="J83" s="94" t="n">
        <f aca="false">MAX(Perf_Batch_Prod!J80,Perf_Batch!J81,Perf_Batch!J82)</f>
        <v>1.16971761357806</v>
      </c>
      <c r="K83" s="94" t="n">
        <f aca="false">MAX(Perf_Batch_Prod!K80,Perf_Batch!K81,Perf_Batch!K82)</f>
        <v>4.57194938673138</v>
      </c>
      <c r="L83" s="94" t="n">
        <f aca="false">MAX(Perf_Batch_Prod!L80,Perf_Batch!L81,Perf_Batch!L82)</f>
        <v>0.194123661844746</v>
      </c>
      <c r="M83" s="94" t="n">
        <f aca="false">MAX(Perf_Batch_Prod!M80,Perf_Batch!M81,Perf_Batch!M82)</f>
        <v>0.66841006490175</v>
      </c>
      <c r="N83" s="94" t="n">
        <f aca="false">MAX(Perf_Batch_Prod!N80,Perf_Batch!N81,Perf_Batch!N82)</f>
        <v>2.61254250670365</v>
      </c>
      <c r="O83" s="94" t="n">
        <f aca="false">MAX(Perf_Batch_Prod!O80,Perf_Batch!O81,Perf_Batch!O82)</f>
        <v>0.0727963731917798</v>
      </c>
      <c r="P83" s="94" t="n">
        <f aca="false">MAX(Perf_Batch_Prod!P80,Perf_Batch!P81,Perf_Batch!P82)</f>
        <v>0.250653774338156</v>
      </c>
      <c r="Q83" s="94" t="n">
        <f aca="false">MAX(Perf_Batch_Prod!Q80,Perf_Batch!Q81,Perf_Batch!Q82)</f>
        <v>0.979703440013868</v>
      </c>
      <c r="S83" s="94" t="n">
        <f aca="false">MAX(Perf_Batch_Prod!S80,Perf_Batch!C81,Perf_Batch!C82)</f>
        <v>1.45911544716554</v>
      </c>
      <c r="T83" s="94" t="n">
        <f aca="false">MAX(Perf_Batch_Prod!T80,Perf_Batch!D81,Perf_Batch!D82)</f>
        <v>5.02405240799066</v>
      </c>
      <c r="U83" s="94" t="n">
        <f aca="false">MAX(Perf_Batch_Prod!U80,Perf_Batch!E81,Perf_Batch!E82)</f>
        <v>19.6369731112768</v>
      </c>
      <c r="V83" s="94" t="n">
        <f aca="false">MAX(Perf_Batch_Prod!V80,Perf_Batch!F81,Perf_Batch!F82)</f>
        <v>0.43313842049109</v>
      </c>
      <c r="W83" s="94" t="n">
        <f aca="false">MAX(Perf_Batch_Prod!W80,Perf_Batch!G81,Perf_Batch!G82)</f>
        <v>1.49138995731203</v>
      </c>
      <c r="X83" s="94" t="n">
        <f aca="false">MAX(Perf_Batch_Prod!X80,Perf_Batch!H81,Perf_Batch!H82)</f>
        <v>5.82923546808251</v>
      </c>
      <c r="Y83" s="94" t="n">
        <f aca="false">MAX(Perf_Batch_Prod!Y80,Perf_Batch!I81,Perf_Batch!I82)</f>
        <v>0.28875894699406</v>
      </c>
      <c r="Z83" s="94" t="n">
        <f aca="false">MAX(Perf_Batch_Prod!Z80,Perf_Batch!J81,Perf_Batch!J82)</f>
        <v>0.994259971541353</v>
      </c>
      <c r="AA83" s="94" t="n">
        <f aca="false">MAX(Perf_Batch_Prod!AA80,Perf_Batch!K81,Perf_Batch!K82)</f>
        <v>3.88615697872167</v>
      </c>
      <c r="AB83" s="94" t="n">
        <f aca="false">MAX(Perf_Batch_Prod!AB80,Perf_Batch!L81,Perf_Batch!L82)</f>
        <v>0.165005112568034</v>
      </c>
      <c r="AC83" s="94" t="n">
        <f aca="false">MAX(Perf_Batch_Prod!AC80,Perf_Batch!M81,Perf_Batch!M82)</f>
        <v>0.568148555166487</v>
      </c>
      <c r="AD83" s="94" t="n">
        <f aca="false">MAX(Perf_Batch_Prod!AD80,Perf_Batch!N81,Perf_Batch!N82)</f>
        <v>2.2206611306981</v>
      </c>
      <c r="AE83" s="94" t="n">
        <f aca="false">MAX(Perf_Batch_Prod!AE80,Perf_Batch!O81,Perf_Batch!O82)</f>
        <v>0.0618769172130129</v>
      </c>
      <c r="AF83" s="94" t="n">
        <f aca="false">MAX(Perf_Batch_Prod!AF80,Perf_Batch!P81,Perf_Batch!P82)</f>
        <v>0.213055708187433</v>
      </c>
      <c r="AG83" s="94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9" t="s">
        <v>772</v>
      </c>
      <c r="B85" s="71" t="s">
        <v>2320</v>
      </c>
      <c r="C85" s="96" t="n">
        <f aca="false">(1000*Perf_Batch!C49/Perf_Batch!C41-Perf_Batch_Prod!C79)/Perf_Batch_Prod!C83</f>
        <v>64.4589440421086</v>
      </c>
      <c r="D85" s="96" t="n">
        <f aca="false">(1000*Perf_Batch!D49/Perf_Batch!D41-Perf_Batch_Prod!D79)/Perf_Batch_Prod!D83</f>
        <v>16.588852106046</v>
      </c>
      <c r="E85" s="96" t="n">
        <f aca="false">(1000*Perf_Batch!E49/Perf_Batch!E41-Perf_Batch_Prod!E79)/Perf_Batch_Prod!E83</f>
        <v>3.68550930277489</v>
      </c>
      <c r="F85" s="96" t="n">
        <f aca="false">(1000*Perf_Batch!F49/Perf_Batch!F41-Perf_Batch_Prod!F79)/Perf_Batch_Prod!F83</f>
        <v>228.893657766253</v>
      </c>
      <c r="G85" s="96" t="n">
        <f aca="false">(1000*Perf_Batch!G49/Perf_Batch!G41-Perf_Batch_Prod!G79)/Perf_Batch_Prod!G83</f>
        <v>61.8427897296822</v>
      </c>
      <c r="H85" s="96" t="n">
        <f aca="false">(1000*Perf_Batch!H49/Perf_Batch!H41-Perf_Batch_Prod!H79)/Perf_Batch_Prod!H83</f>
        <v>13.9809826121038</v>
      </c>
      <c r="I85" s="96" t="n">
        <f aca="false">(1000*Perf_Batch!I49/Perf_Batch!I41-Perf_Batch_Prod!I79)/Perf_Batch_Prod!I83</f>
        <v>343.34048664938</v>
      </c>
      <c r="J85" s="96" t="n">
        <f aca="false">(1000*Perf_Batch!J49/Perf_Batch!J41-Perf_Batch_Prod!J79)/Perf_Batch_Prod!J83</f>
        <v>92.7641845945234</v>
      </c>
      <c r="K85" s="96" t="n">
        <f aca="false">(1000*Perf_Batch!K49/Perf_Batch!K41-Perf_Batch_Prod!K79)/Perf_Batch_Prod!K83</f>
        <v>20.1889417884203</v>
      </c>
      <c r="L85" s="96" t="n">
        <f aca="false">(1000*Perf_Batch!L49/Perf_Batch!L41-Perf_Batch_Prod!L79)/Perf_Batch_Prod!L83</f>
        <v>605.070161198981</v>
      </c>
      <c r="M85" s="96" t="n">
        <f aca="false">(1000*Perf_Batch!M49/Perf_Batch!M41-Perf_Batch_Prod!M79)/Perf_Batch_Prod!M83</f>
        <v>168.055171343245</v>
      </c>
      <c r="N85" s="96" t="n">
        <f aca="false">(1000*Perf_Batch!N49/Perf_Batch!N41-Perf_Batch_Prod!N79)/Perf_Batch_Prod!N83</f>
        <v>38.9393642588889</v>
      </c>
      <c r="O85" s="96" t="n">
        <f aca="false">(1000*Perf_Batch!O49/Perf_Batch!O41-Perf_Batch_Prod!O79)/Perf_Batch_Prod!O83</f>
        <v>1616.58310875328</v>
      </c>
      <c r="P85" s="96" t="n">
        <f aca="false">(1000*Perf_Batch!P49/Perf_Batch!P41-Perf_Batch_Prod!P79)/Perf_Batch_Prod!P83</f>
        <v>452.600916401853</v>
      </c>
      <c r="Q85" s="96" t="n">
        <f aca="false">(1000*Perf_Batch!Q49/Perf_Batch!Q41-Perf_Batch_Prod!Q79)/Perf_Batch_Prod!Q83</f>
        <v>106.664376764942</v>
      </c>
      <c r="S85" s="96" t="n">
        <f aca="false">(1000*Perf_Batch!C49/Perf_Batch!C41-Perf_Batch_Prod!S79)/Perf_Batch_Prod!S83</f>
        <v>77.1791602721487</v>
      </c>
      <c r="T85" s="96" t="n">
        <f aca="false">(1000*Perf_Batch!D49/Perf_Batch!D41-Perf_Batch_Prod!T79)/Perf_Batch_Prod!T83</f>
        <v>20.0598158574984</v>
      </c>
      <c r="U85" s="96" t="n">
        <f aca="false">(1000*Perf_Batch!E49/Perf_Batch!E41-Perf_Batch_Prod!U79)/Perf_Batch_Prod!U83</f>
        <v>4.55968903269538</v>
      </c>
      <c r="V85" s="96" t="n">
        <f aca="false">(1000*Perf_Batch!F49/Perf_Batch!F41-Perf_Batch_Prod!V79)/Perf_Batch_Prod!V83</f>
        <v>272.307505014644</v>
      </c>
      <c r="W85" s="96" t="n">
        <f aca="false">(1000*Perf_Batch!G49/Perf_Batch!G41-Perf_Batch_Prod!W79)/Perf_Batch_Prod!W83</f>
        <v>73.9768604853229</v>
      </c>
      <c r="X85" s="96" t="n">
        <f aca="false">(1000*Perf_Batch!H49/Perf_Batch!H41-Perf_Batch_Prod!X79)/Perf_Batch_Prod!X83</f>
        <v>16.9508160062901</v>
      </c>
      <c r="Y85" s="96" t="n">
        <f aca="false">(1000*Perf_Batch!I49/Perf_Batch!I41-Perf_Batch_Prod!Y79)/Perf_Batch_Prod!Y83</f>
        <v>408.461257521966</v>
      </c>
      <c r="Z85" s="96" t="n">
        <f aca="false">(1000*Perf_Batch!J49/Perf_Batch!J41-Perf_Batch_Prod!Z79)/Perf_Batch_Prod!Z83</f>
        <v>110.965290727984</v>
      </c>
      <c r="AA85" s="96" t="n">
        <f aca="false">(1000*Perf_Batch!K49/Perf_Batch!K41-Perf_Batch_Prod!AA79)/Perf_Batch_Prod!AA83</f>
        <v>24.5055979744523</v>
      </c>
      <c r="AB85" s="96" t="n">
        <f aca="false">(1000*Perf_Batch!L49/Perf_Batch!L41-Perf_Batch_Prod!AB79)/Perf_Batch_Prod!AB83</f>
        <v>719.7769766194</v>
      </c>
      <c r="AC85" s="96" t="n">
        <f aca="false">(1000*Perf_Batch!M49/Perf_Batch!M41-Perf_Batch_Prod!AC79)/Perf_Batch_Prod!AC83</f>
        <v>200.916139130242</v>
      </c>
      <c r="AD85" s="96" t="n">
        <f aca="false">(1000*Perf_Batch!N49/Perf_Batch!N41-Perf_Batch_Prod!AD79)/Perf_Batch_Prod!AD83</f>
        <v>47.1303448425309</v>
      </c>
      <c r="AE85" s="96" t="n">
        <f aca="false">(1000*Perf_Batch!O49/Perf_Batch!O41-Perf_Batch_Prod!AE79)/Perf_Batch_Prod!AE83</f>
        <v>1923.00842261957</v>
      </c>
      <c r="AF85" s="96" t="n">
        <f aca="false">(1000*Perf_Batch!P49/Perf_Batch!P41-Perf_Batch_Prod!AF79)/Perf_Batch_Prod!AF83</f>
        <v>541.016127272645</v>
      </c>
      <c r="AG85" s="96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774</v>
      </c>
      <c r="B87" s="71" t="s">
        <v>2320</v>
      </c>
      <c r="C87" s="159" t="n">
        <f aca="false">MAX(0,MIN(Perf_Batch_Prod!C85,Perf_Batch!C86))</f>
        <v>64.4589440421086</v>
      </c>
      <c r="D87" s="159" t="n">
        <f aca="false">MAX(0,MIN(Perf_Batch_Prod!D85,Perf_Batch!D86))</f>
        <v>16.588852106046</v>
      </c>
      <c r="E87" s="159" t="n">
        <f aca="false">MAX(0,MIN(Perf_Batch_Prod!E85,Perf_Batch!E86))</f>
        <v>3.68550930277489</v>
      </c>
      <c r="F87" s="159" t="n">
        <f aca="false">MAX(0,MIN(Perf_Batch_Prod!F85,Perf_Batch!F86))</f>
        <v>228.893657766253</v>
      </c>
      <c r="G87" s="159" t="n">
        <f aca="false">MAX(0,MIN(Perf_Batch_Prod!G85,Perf_Batch!G86))</f>
        <v>61.8427897296822</v>
      </c>
      <c r="H87" s="159" t="n">
        <f aca="false">MAX(0,MIN(Perf_Batch_Prod!H85,Perf_Batch!H86))</f>
        <v>13.9809826121038</v>
      </c>
      <c r="I87" s="159" t="n">
        <f aca="false">MAX(0,MIN(Perf_Batch_Prod!I85,Perf_Batch!I86))</f>
        <v>343.34048664938</v>
      </c>
      <c r="J87" s="159" t="n">
        <f aca="false">MAX(0,MIN(Perf_Batch_Prod!J85,Perf_Batch!J86))</f>
        <v>92.7641845945234</v>
      </c>
      <c r="K87" s="159" t="n">
        <f aca="false">MAX(0,MIN(Perf_Batch_Prod!K85,Perf_Batch!K86))</f>
        <v>20.1889417884203</v>
      </c>
      <c r="L87" s="159" t="n">
        <f aca="false">MAX(0,MIN(Perf_Batch_Prod!L85,Perf_Batch!L86))</f>
        <v>605.070161198981</v>
      </c>
      <c r="M87" s="159" t="n">
        <f aca="false">MAX(0,MIN(Perf_Batch_Prod!M85,Perf_Batch!M86))</f>
        <v>168.055171343245</v>
      </c>
      <c r="N87" s="159" t="n">
        <f aca="false">MAX(0,MIN(Perf_Batch_Prod!N85,Perf_Batch!N86))</f>
        <v>38.9393642588889</v>
      </c>
      <c r="O87" s="159" t="n">
        <f aca="false">MAX(0,MIN(Perf_Batch_Prod!O85,Perf_Batch!O86))</f>
        <v>1616.58310875328</v>
      </c>
      <c r="P87" s="159" t="n">
        <f aca="false">MAX(0,MIN(Perf_Batch_Prod!P85,Perf_Batch!P86))</f>
        <v>452.600916401853</v>
      </c>
      <c r="Q87" s="159" t="n">
        <f aca="false">MAX(0,MIN(Perf_Batch_Prod!Q85,Perf_Batch!Q86))</f>
        <v>106.664376764942</v>
      </c>
      <c r="S87" s="159" t="n">
        <f aca="false">MAX(0,MIN(Perf_Batch_Prod!S85,Perf_Batch!C86))</f>
        <v>77.1791602721487</v>
      </c>
      <c r="T87" s="159" t="n">
        <f aca="false">MAX(0,MIN(Perf_Batch_Prod!T85,Perf_Batch!D86))</f>
        <v>20.0598158574984</v>
      </c>
      <c r="U87" s="159" t="n">
        <f aca="false">MAX(0,MIN(Perf_Batch_Prod!U85,Perf_Batch!E86))</f>
        <v>4.55968903269538</v>
      </c>
      <c r="V87" s="159" t="n">
        <f aca="false">MAX(0,MIN(Perf_Batch_Prod!V85,Perf_Batch!F86))</f>
        <v>272.307505014644</v>
      </c>
      <c r="W87" s="159" t="n">
        <f aca="false">MAX(0,MIN(Perf_Batch_Prod!W85,Perf_Batch!G86))</f>
        <v>73.9768604853229</v>
      </c>
      <c r="X87" s="159" t="n">
        <f aca="false">MAX(0,MIN(Perf_Batch_Prod!X85,Perf_Batch!H86))</f>
        <v>16.9508160062901</v>
      </c>
      <c r="Y87" s="159" t="n">
        <f aca="false">MAX(0,MIN(Perf_Batch_Prod!Y85,Perf_Batch!I86))</f>
        <v>408.461257521966</v>
      </c>
      <c r="Z87" s="159" t="n">
        <f aca="false">MAX(0,MIN(Perf_Batch_Prod!Z85,Perf_Batch!J86))</f>
        <v>110.965290727984</v>
      </c>
      <c r="AA87" s="159" t="n">
        <f aca="false">MAX(0,MIN(Perf_Batch_Prod!AA85,Perf_Batch!K86))</f>
        <v>24.5055979744523</v>
      </c>
      <c r="AB87" s="159" t="n">
        <f aca="false">MAX(0,MIN(Perf_Batch_Prod!AB85,Perf_Batch!L86))</f>
        <v>719.7769766194</v>
      </c>
      <c r="AC87" s="159" t="n">
        <f aca="false">MAX(0,MIN(Perf_Batch_Prod!AC85,Perf_Batch!M86))</f>
        <v>200.916139130242</v>
      </c>
      <c r="AD87" s="159" t="n">
        <f aca="false">MAX(0,MIN(Perf_Batch_Prod!AD85,Perf_Batch!N86))</f>
        <v>47.1303448425309</v>
      </c>
      <c r="AE87" s="159" t="n">
        <f aca="false">MAX(0,MIN(Perf_Batch_Prod!AE85,Perf_Batch!O86))</f>
        <v>1923.00842261957</v>
      </c>
      <c r="AF87" s="159" t="n">
        <f aca="false">MAX(0,MIN(Perf_Batch_Prod!AF85,Perf_Batch!P86))</f>
        <v>541.016127272645</v>
      </c>
      <c r="AG87" s="159" t="n">
        <f aca="false">MAX(0,MIN(Perf_Batch_Prod!AG85,Perf_Batch!Q86))</f>
        <v>129.005710256048</v>
      </c>
    </row>
    <row r="88" customFormat="false" ht="15" hidden="false" customHeight="false" outlineLevel="0" collapsed="false">
      <c r="A88" s="59" t="s">
        <v>775</v>
      </c>
      <c r="B88" s="56" t="s">
        <v>359</v>
      </c>
      <c r="C88" s="164" t="n">
        <f aca="false">IF(Perf_Batch_Prod!C87&gt;0,Perf_Batch_Prod!C87*Perf_Batch!C49/((Perf_Batch_Prod!C79+Perf_Batch_Prod!C87*Perf_Batch_Prod!C83)/1000),0)</f>
        <v>1289.17888084217</v>
      </c>
      <c r="D88" s="164" t="n">
        <f aca="false">IF(Perf_Batch_Prod!D87&gt;0,Perf_Batch_Prod!D87*Perf_Batch!D49/((Perf_Batch_Prod!D79+Perf_Batch_Prod!D87*Perf_Batch_Prod!D83)/1000),0)</f>
        <v>331.777042120921</v>
      </c>
      <c r="E88" s="164" t="n">
        <f aca="false">IF(Perf_Batch_Prod!E87&gt;0,Perf_Batch_Prod!E87*Perf_Batch!E49/((Perf_Batch_Prod!E79+Perf_Batch_Prod!E87*Perf_Batch_Prod!E83)/1000),0)</f>
        <v>73.7101860554978</v>
      </c>
      <c r="F88" s="164" t="n">
        <f aca="false">IF(Perf_Batch_Prod!F87&gt;0,Perf_Batch_Prod!F87*Perf_Batch!F49/((Perf_Batch_Prod!F79+Perf_Batch_Prod!F87*Perf_Batch_Prod!F83)/1000),0)</f>
        <v>4577.87315532506</v>
      </c>
      <c r="G88" s="164" t="n">
        <f aca="false">IF(Perf_Batch_Prod!G87&gt;0,Perf_Batch_Prod!G87*Perf_Batch!G49/((Perf_Batch_Prod!G79+Perf_Batch_Prod!G87*Perf_Batch_Prod!G83)/1000),0)</f>
        <v>1236.85579459364</v>
      </c>
      <c r="H88" s="164" t="n">
        <f aca="false">IF(Perf_Batch_Prod!H87&gt;0,Perf_Batch_Prod!H87*Perf_Batch!H49/((Perf_Batch_Prod!H79+Perf_Batch_Prod!H87*Perf_Batch_Prod!H83)/1000),0)</f>
        <v>279.619652242076</v>
      </c>
      <c r="I88" s="164" t="n">
        <f aca="false">IF(Perf_Batch_Prod!I87&gt;0,Perf_Batch_Prod!I87*Perf_Batch!I49/((Perf_Batch_Prod!I79+Perf_Batch_Prod!I87*Perf_Batch_Prod!I83)/1000),0)</f>
        <v>6866.8097329876</v>
      </c>
      <c r="J88" s="164" t="n">
        <f aca="false">IF(Perf_Batch_Prod!J87&gt;0,Perf_Batch_Prod!J87*Perf_Batch!J49/((Perf_Batch_Prod!J79+Perf_Batch_Prod!J87*Perf_Batch_Prod!J83)/1000),0)</f>
        <v>1855.28369189047</v>
      </c>
      <c r="K88" s="164" t="n">
        <f aca="false">IF(Perf_Batch_Prod!K87&gt;0,Perf_Batch_Prod!K87*Perf_Batch!K49/((Perf_Batch_Prod!K79+Perf_Batch_Prod!K87*Perf_Batch_Prod!K83)/1000),0)</f>
        <v>403.778835768406</v>
      </c>
      <c r="L88" s="164" t="n">
        <f aca="false">IF(Perf_Batch_Prod!L87&gt;0,Perf_Batch_Prod!L87*Perf_Batch!L49/((Perf_Batch_Prod!L79+Perf_Batch_Prod!L87*Perf_Batch_Prod!L83)/1000),0)</f>
        <v>12101.4032239796</v>
      </c>
      <c r="M88" s="164" t="n">
        <f aca="false">IF(Perf_Batch_Prod!M87&gt;0,Perf_Batch_Prod!M87*Perf_Batch!M49/((Perf_Batch_Prod!M79+Perf_Batch_Prod!M87*Perf_Batch_Prod!M83)/1000),0)</f>
        <v>3361.1034268649</v>
      </c>
      <c r="N88" s="164" t="n">
        <f aca="false">IF(Perf_Batch_Prod!N87&gt;0,Perf_Batch_Prod!N87*Perf_Batch!N49/((Perf_Batch_Prod!N79+Perf_Batch_Prod!N87*Perf_Batch_Prod!N83)/1000),0)</f>
        <v>778.787285177779</v>
      </c>
      <c r="O88" s="164" t="n">
        <f aca="false">IF(Perf_Batch_Prod!O87&gt;0,Perf_Batch_Prod!O87*Perf_Batch!O49/((Perf_Batch_Prod!O79+Perf_Batch_Prod!O87*Perf_Batch_Prod!O83)/1000),0)</f>
        <v>32331.6621750656</v>
      </c>
      <c r="P88" s="164" t="n">
        <f aca="false">IF(Perf_Batch_Prod!P87&gt;0,Perf_Batch_Prod!P87*Perf_Batch!P49/((Perf_Batch_Prod!P79+Perf_Batch_Prod!P87*Perf_Batch_Prod!P83)/1000),0)</f>
        <v>9052.01832803705</v>
      </c>
      <c r="Q88" s="164" t="n">
        <f aca="false">IF(Perf_Batch_Prod!Q87&gt;0,Perf_Batch_Prod!Q87*Perf_Batch!Q49/((Perf_Batch_Prod!Q79+Perf_Batch_Prod!Q87*Perf_Batch_Prod!Q83)/1000),0)</f>
        <v>2133.28753529883</v>
      </c>
      <c r="S88" s="164" t="n">
        <f aca="false">IF(Perf_Batch_Prod!S87&gt;0,Perf_Batch_Prod!S87*Perf_Batch!C49/((Perf_Batch_Prod!S79+Perf_Batch_Prod!S87*Perf_Batch_Prod!S83)/1000),0)</f>
        <v>1543.58320544297</v>
      </c>
      <c r="T88" s="164" t="n">
        <f aca="false">IF(Perf_Batch_Prod!T87&gt;0,Perf_Batch_Prod!T87*Perf_Batch!D49/((Perf_Batch_Prod!T79+Perf_Batch_Prod!T87*Perf_Batch_Prod!T83)/1000),0)</f>
        <v>401.196317149967</v>
      </c>
      <c r="U88" s="164" t="n">
        <f aca="false">IF(Perf_Batch_Prod!U87&gt;0,Perf_Batch_Prod!U87*Perf_Batch!E49/((Perf_Batch_Prod!U79+Perf_Batch_Prod!U87*Perf_Batch_Prod!U83)/1000),0)</f>
        <v>91.1937806539076</v>
      </c>
      <c r="V88" s="164" t="n">
        <f aca="false">IF(Perf_Batch_Prod!V87&gt;0,Perf_Batch_Prod!V87*Perf_Batch!F49/((Perf_Batch_Prod!V79+Perf_Batch_Prod!V87*Perf_Batch_Prod!V83)/1000),0)</f>
        <v>5446.15010029288</v>
      </c>
      <c r="W88" s="164" t="n">
        <f aca="false">IF(Perf_Batch_Prod!W87&gt;0,Perf_Batch_Prod!W87*Perf_Batch!G49/((Perf_Batch_Prod!W79+Perf_Batch_Prod!W87*Perf_Batch_Prod!W83)/1000),0)</f>
        <v>1479.53720970646</v>
      </c>
      <c r="X88" s="164" t="n">
        <f aca="false">IF(Perf_Batch_Prod!X87&gt;0,Perf_Batch_Prod!X87*Perf_Batch!H49/((Perf_Batch_Prod!X79+Perf_Batch_Prod!X87*Perf_Batch_Prod!X83)/1000),0)</f>
        <v>339.016320125802</v>
      </c>
      <c r="Y88" s="164" t="n">
        <f aca="false">IF(Perf_Batch_Prod!Y87&gt;0,Perf_Batch_Prod!Y87*Perf_Batch!I49/((Perf_Batch_Prod!Y79+Perf_Batch_Prod!Y87*Perf_Batch_Prod!Y83)/1000),0)</f>
        <v>8169.22515043932</v>
      </c>
      <c r="Z88" s="164" t="n">
        <f aca="false">IF(Perf_Batch_Prod!Z87&gt;0,Perf_Batch_Prod!Z87*Perf_Batch!J49/((Perf_Batch_Prod!Z79+Perf_Batch_Prod!Z87*Perf_Batch_Prod!Z83)/1000),0)</f>
        <v>2219.30581455969</v>
      </c>
      <c r="AA88" s="164" t="n">
        <f aca="false">IF(Perf_Batch_Prod!AA87&gt;0,Perf_Batch_Prod!AA87*Perf_Batch!K49/((Perf_Batch_Prod!AA79+Perf_Batch_Prod!AA87*Perf_Batch_Prod!AA83)/1000),0)</f>
        <v>490.111959489046</v>
      </c>
      <c r="AB88" s="164" t="n">
        <f aca="false">IF(Perf_Batch_Prod!AB87&gt;0,Perf_Batch_Prod!AB87*Perf_Batch!L49/((Perf_Batch_Prod!AB79+Perf_Batch_Prod!AB87*Perf_Batch_Prod!AB83)/1000),0)</f>
        <v>14395.539532388</v>
      </c>
      <c r="AC88" s="164" t="n">
        <f aca="false">IF(Perf_Batch_Prod!AC87&gt;0,Perf_Batch_Prod!AC87*Perf_Batch!M49/((Perf_Batch_Prod!AC79+Perf_Batch_Prod!AC87*Perf_Batch_Prod!AC83)/1000),0)</f>
        <v>4018.32278260485</v>
      </c>
      <c r="AD88" s="164" t="n">
        <f aca="false">IF(Perf_Batch_Prod!AD87&gt;0,Perf_Batch_Prod!AD87*Perf_Batch!N49/((Perf_Batch_Prod!AD79+Perf_Batch_Prod!AD87*Perf_Batch_Prod!AD83)/1000),0)</f>
        <v>942.606896850618</v>
      </c>
      <c r="AE88" s="164" t="n">
        <f aca="false">IF(Perf_Batch_Prod!AE87&gt;0,Perf_Batch_Prod!AE87*Perf_Batch!O49/((Perf_Batch_Prod!AE79+Perf_Batch_Prod!AE87*Perf_Batch_Prod!AE83)/1000),0)</f>
        <v>38460.1684523914</v>
      </c>
      <c r="AF88" s="164" t="n">
        <f aca="false">IF(Perf_Batch_Prod!AF87&gt;0,Perf_Batch_Prod!AF87*Perf_Batch!P49/((Perf_Batch_Prod!AF79+Perf_Batch_Prod!AF87*Perf_Batch_Prod!AF83)/1000),0)</f>
        <v>10820.3225454529</v>
      </c>
      <c r="AG88" s="164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790</v>
      </c>
      <c r="B101" s="56" t="s">
        <v>791</v>
      </c>
      <c r="C101" s="96" t="n">
        <f aca="false">1000000/Perf_Batch_Prod!C75</f>
        <v>128.099029470878</v>
      </c>
      <c r="D101" s="96" t="n">
        <f aca="false">1000000/Perf_Batch_Prod!D75</f>
        <v>521.520531911449</v>
      </c>
      <c r="E101" s="96" t="n">
        <f aca="false">1000000/Perf_Batch_Prod!E75</f>
        <v>1587.12630464522</v>
      </c>
      <c r="F101" s="96" t="n">
        <f aca="false">1000000/Perf_Batch_Prod!F75</f>
        <v>12.6689940146698</v>
      </c>
      <c r="G101" s="96" t="n">
        <f aca="false">1000000/Perf_Batch_Prod!G75</f>
        <v>51.5783806060424</v>
      </c>
      <c r="H101" s="96" t="n">
        <f aca="false">1000000/Perf_Batch_Prod!H75</f>
        <v>156.966791529412</v>
      </c>
      <c r="I101" s="96" t="n">
        <f aca="false">1000000/Perf_Batch_Prod!I75</f>
        <v>8.44599600977987</v>
      </c>
      <c r="J101" s="96" t="n">
        <f aca="false">1000000/Perf_Batch_Prod!J75</f>
        <v>34.3855870706949</v>
      </c>
      <c r="K101" s="96" t="n">
        <f aca="false">1000000/Perf_Batch_Prod!K75</f>
        <v>104.644527686275</v>
      </c>
      <c r="L101" s="96" t="n">
        <f aca="false">1000000/Perf_Batch_Prod!L75</f>
        <v>3.61971257561994</v>
      </c>
      <c r="M101" s="96" t="n">
        <f aca="false">1000000/Perf_Batch_Prod!M75</f>
        <v>14.736680173155</v>
      </c>
      <c r="N101" s="96" t="n">
        <f aca="false">1000000/Perf_Batch_Prod!N75</f>
        <v>44.8476547226891</v>
      </c>
      <c r="O101" s="96" t="n">
        <f aca="false">1000000/Perf_Batch_Prod!O75</f>
        <v>1.80985628780997</v>
      </c>
      <c r="P101" s="96" t="n">
        <f aca="false">1000000/Perf_Batch_Prod!P75</f>
        <v>7.36834008657748</v>
      </c>
      <c r="Q101" s="96" t="n">
        <f aca="false">1000000/Perf_Batch_Prod!Q75</f>
        <v>22.4238273613445</v>
      </c>
      <c r="S101" s="96" t="n">
        <f aca="false">1000000/Perf_Batch_Prod!S75</f>
        <v>108.884175050246</v>
      </c>
      <c r="T101" s="96" t="n">
        <f aca="false">1000000/Perf_Batch_Prod!T75</f>
        <v>443.292452124732</v>
      </c>
      <c r="U101" s="96" t="n">
        <f aca="false">1000000/Perf_Batch_Prod!U75</f>
        <v>1349.05735894843</v>
      </c>
      <c r="V101" s="96" t="n">
        <f aca="false">1000000/Perf_Batch_Prod!V75</f>
        <v>10.7686449124693</v>
      </c>
      <c r="W101" s="96" t="n">
        <f aca="false">1000000/Perf_Batch_Prod!W75</f>
        <v>43.841623515136</v>
      </c>
      <c r="X101" s="96" t="n">
        <f aca="false">1000000/Perf_Batch_Prod!X75</f>
        <v>133.4217728</v>
      </c>
      <c r="Y101" s="96" t="n">
        <f aca="false">1000000/Perf_Batch_Prod!Y75</f>
        <v>7.17909660831289</v>
      </c>
      <c r="Z101" s="96" t="n">
        <f aca="false">1000000/Perf_Batch_Prod!Z75</f>
        <v>29.2277490100907</v>
      </c>
      <c r="AA101" s="96" t="n">
        <f aca="false">1000000/Perf_Batch_Prod!AA75</f>
        <v>88.9478485333333</v>
      </c>
      <c r="AB101" s="96" t="n">
        <f aca="false">1000000/Perf_Batch_Prod!AB75</f>
        <v>3.07675568927695</v>
      </c>
      <c r="AC101" s="96" t="n">
        <f aca="false">1000000/Perf_Batch_Prod!AC75</f>
        <v>12.5261781471817</v>
      </c>
      <c r="AD101" s="96" t="n">
        <f aca="false">1000000/Perf_Batch_Prod!AD75</f>
        <v>38.1205065142857</v>
      </c>
      <c r="AE101" s="96" t="n">
        <f aca="false">1000000/Perf_Batch_Prod!AE75</f>
        <v>1.53837784463848</v>
      </c>
      <c r="AF101" s="96" t="n">
        <f aca="false">1000000/Perf_Batch_Prod!AF75</f>
        <v>6.26308907359086</v>
      </c>
      <c r="AG101" s="96" t="n">
        <f aca="false">1000000/Perf_Batch_Prod!AG75</f>
        <v>19.0602532571429</v>
      </c>
    </row>
    <row r="103" customFormat="false" ht="15" hidden="false" customHeight="false" outlineLevel="0" collapsed="false">
      <c r="A103" s="59" t="s">
        <v>793</v>
      </c>
      <c r="B103" s="56" t="s">
        <v>791</v>
      </c>
      <c r="C103" s="96" t="n">
        <f aca="false">IF(Perf_Batch_Prod!C88&gt;0,1000000/Perf_Batch_Prod!C88,"SLO 不可達")</f>
        <v>775.687544110821</v>
      </c>
      <c r="D103" s="96" t="n">
        <f aca="false">IF(Perf_Batch_Prod!D88&gt;0,1000000/Perf_Batch_Prod!D88,"SLO 不可達")</f>
        <v>3014.07232280869</v>
      </c>
      <c r="E103" s="96" t="n">
        <f aca="false">IF(Perf_Batch_Prod!E88&gt;0,1000000/Perf_Batch_Prod!E88,"SLO 不可達")</f>
        <v>13566.6459890236</v>
      </c>
      <c r="F103" s="96" t="n">
        <f aca="false">IF(Perf_Batch_Prod!F88&gt;0,1000000/Perf_Batch_Prod!F88,"SLO 不可達")</f>
        <v>218.442050723223</v>
      </c>
      <c r="G103" s="96" t="n">
        <f aca="false">IF(Perf_Batch_Prod!G88&gt;0,1000000/Perf_Batch_Prod!G88,"SLO 不可達")</f>
        <v>808.501689825966</v>
      </c>
      <c r="H103" s="96" t="n">
        <f aca="false">IF(Perf_Batch_Prod!H88&gt;0,1000000/Perf_Batch_Prod!H88,"SLO 不可達")</f>
        <v>3576.28654488944</v>
      </c>
      <c r="I103" s="96" t="n">
        <f aca="false">IF(Perf_Batch_Prod!I88&gt;0,1000000/Perf_Batch_Prod!I88,"SLO 不可達")</f>
        <v>145.628033815482</v>
      </c>
      <c r="J103" s="96" t="n">
        <f aca="false">IF(Perf_Batch_Prod!J88&gt;0,1000000/Perf_Batch_Prod!J88,"SLO 不可達")</f>
        <v>539.001126550644</v>
      </c>
      <c r="K103" s="96" t="n">
        <f aca="false">IF(Perf_Batch_Prod!K88&gt;0,1000000/Perf_Batch_Prod!K88,"SLO 不可達")</f>
        <v>2476.60330709747</v>
      </c>
      <c r="L103" s="96" t="n">
        <f aca="false">IF(Perf_Batch_Prod!L88&gt;0,1000000/Perf_Batch_Prod!L88,"SLO 不可達")</f>
        <v>82.6350450019253</v>
      </c>
      <c r="M103" s="96" t="n">
        <f aca="false">IF(Perf_Batch_Prod!M88&gt;0,1000000/Perf_Batch_Prod!M88,"SLO 不可達")</f>
        <v>297.521341356864</v>
      </c>
      <c r="N103" s="96" t="n">
        <f aca="false">IF(Perf_Batch_Prod!N88&gt;0,1000000/Perf_Batch_Prod!N88,"SLO 不可達")</f>
        <v>1284.04767133778</v>
      </c>
      <c r="O103" s="96" t="n">
        <f aca="false">IF(Perf_Batch_Prod!O88&gt;0,1000000/Perf_Batch_Prod!O88,"SLO 不可達")</f>
        <v>30.9294336488276</v>
      </c>
      <c r="P103" s="96" t="n">
        <f aca="false">IF(Perf_Batch_Prod!P88&gt;0,1000000/Perf_Batch_Prod!P88,"SLO 不可達")</f>
        <v>110.472600005976</v>
      </c>
      <c r="Q103" s="96" t="n">
        <f aca="false">IF(Perf_Batch_Prod!Q88&gt;0,1000000/Perf_Batch_Prod!Q88,"SLO 不可達")</f>
        <v>468.760063260726</v>
      </c>
      <c r="S103" s="96" t="n">
        <f aca="false">IF(Perf_Batch_Prod!S88&gt;0,1000000/Perf_Batch_Prod!S88,"SLO 不可達")</f>
        <v>647.843275615986</v>
      </c>
      <c r="T103" s="96" t="n">
        <f aca="false">IF(Perf_Batch_Prod!T88&gt;0,1000000/Perf_Batch_Prod!T88,"SLO 不可達")</f>
        <v>2492.54531323676</v>
      </c>
      <c r="U103" s="96" t="n">
        <f aca="false">IF(Perf_Batch_Prod!U88&gt;0,1000000/Perf_Batch_Prod!U88,"SLO 不可達")</f>
        <v>10965.660079333</v>
      </c>
      <c r="V103" s="96" t="n">
        <f aca="false">IF(Perf_Batch_Prod!V88&gt;0,1000000/Perf_Batch_Prod!V88,"SLO 不可達")</f>
        <v>183.615945499964</v>
      </c>
      <c r="W103" s="96" t="n">
        <f aca="false">IF(Perf_Batch_Prod!W88&gt;0,1000000/Perf_Batch_Prod!W88,"SLO 不可達")</f>
        <v>675.887022941722</v>
      </c>
      <c r="X103" s="96" t="n">
        <f aca="false">IF(Perf_Batch_Prod!X88&gt;0,1000000/Perf_Batch_Prod!X88,"SLO 不可達")</f>
        <v>2949.71050251776</v>
      </c>
      <c r="Y103" s="96" t="n">
        <f aca="false">IF(Perf_Batch_Prod!Y88&gt;0,1000000/Perf_Batch_Prod!Y88,"SLO 不可達")</f>
        <v>122.410630333309</v>
      </c>
      <c r="Z103" s="96" t="n">
        <f aca="false">IF(Perf_Batch_Prod!Z88&gt;0,1000000/Perf_Batch_Prod!Z88,"SLO 不可達")</f>
        <v>450.591348627815</v>
      </c>
      <c r="AA103" s="96" t="n">
        <f aca="false">IF(Perf_Batch_Prod!AA88&gt;0,1000000/Perf_Batch_Prod!AA88,"SLO 不可達")</f>
        <v>2040.35012947353</v>
      </c>
      <c r="AB103" s="96" t="n">
        <f aca="false">IF(Perf_Batch_Prod!AB88&gt;0,1000000/Perf_Batch_Prod!AB88,"SLO 不可達")</f>
        <v>69.4659618522901</v>
      </c>
      <c r="AC103" s="96" t="n">
        <f aca="false">IF(Perf_Batch_Prod!AC88&gt;0,1000000/Perf_Batch_Prod!AC88,"SLO 不可達")</f>
        <v>248.860047861003</v>
      </c>
      <c r="AD103" s="96" t="n">
        <f aca="false">IF(Perf_Batch_Prod!AD88&gt;0,1000000/Perf_Batch_Prod!AD88,"SLO 不可達")</f>
        <v>1060.88763337202</v>
      </c>
      <c r="AE103" s="96" t="n">
        <f aca="false">IF(Perf_Batch_Prod!AE88&gt;0,1000000/Perf_Batch_Prod!AE88,"SLO 不可達")</f>
        <v>26.0009261591734</v>
      </c>
      <c r="AF103" s="96" t="n">
        <f aca="false">IF(Perf_Batch_Prod!AF88&gt;0,1000000/Perf_Batch_Prod!AF88,"SLO 不可達")</f>
        <v>92.4186867627377</v>
      </c>
      <c r="AG103" s="96" t="n">
        <f aca="false">IF(Perf_Batch_Prod!AG88&gt;0,1000000/Perf_Batch_Prod!AG88,"SLO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2324</v>
      </c>
    </row>
    <row r="2" customFormat="false" ht="15" hidden="false" customHeight="false" outlineLevel="0" collapsed="false">
      <c r="A2" s="71" t="s">
        <v>2325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Training!A4</f>
        <v>世代</v>
      </c>
      <c r="C4" s="90" t="str">
        <f aca="false">Training!C4</f>
        <v>Hopper H100</v>
      </c>
      <c r="D4" s="90" t="str">
        <f aca="false">Training!D4</f>
        <v>Hopper H100</v>
      </c>
      <c r="E4" s="90" t="str">
        <f aca="false">Training!E4</f>
        <v>Hopper H100</v>
      </c>
      <c r="F4" s="90" t="str">
        <f aca="false">Training!F4</f>
        <v>GB200 NVL72</v>
      </c>
      <c r="G4" s="90" t="str">
        <f aca="false">Training!G4</f>
        <v>GB200 NVL72</v>
      </c>
      <c r="H4" s="90" t="str">
        <f aca="false">Training!H4</f>
        <v>GB200 NVL72</v>
      </c>
      <c r="I4" s="90" t="str">
        <f aca="false">Training!I4</f>
        <v>GB300 NVL72</v>
      </c>
      <c r="J4" s="90" t="str">
        <f aca="false">Training!J4</f>
        <v>GB300 NVL72</v>
      </c>
      <c r="K4" s="90" t="str">
        <f aca="false">Training!K4</f>
        <v>GB300 NVL72</v>
      </c>
      <c r="L4" s="90" t="str">
        <f aca="false">Training!L4</f>
        <v>VR200 NVL72</v>
      </c>
      <c r="M4" s="90" t="str">
        <f aca="false">Training!M4</f>
        <v>VR200 NVL72</v>
      </c>
      <c r="N4" s="90" t="str">
        <f aca="false">Training!N4</f>
        <v>VR200 NVL72</v>
      </c>
      <c r="O4" s="90" t="str">
        <f aca="false">Training!O4</f>
        <v>Rubin Ultra（MGX NVL 單架，72 GPU）</v>
      </c>
      <c r="P4" s="90" t="str">
        <f aca="false">Training!P4</f>
        <v>Rubin Ultra（MGX NVL 單架，72 GPU）</v>
      </c>
      <c r="Q4" s="90" t="str">
        <f aca="false">Training!Q4</f>
        <v>Rubin Ultra（MGX NVL 單架，72 GPU）</v>
      </c>
      <c r="S4" s="90" t="str">
        <f aca="false">Training!C4</f>
        <v>Hopper H100</v>
      </c>
      <c r="T4" s="90" t="str">
        <f aca="false">Training!D4</f>
        <v>Hopper H100</v>
      </c>
      <c r="U4" s="90" t="str">
        <f aca="false">Training!E4</f>
        <v>Hopper H100</v>
      </c>
      <c r="V4" s="90" t="str">
        <f aca="false">Training!F4</f>
        <v>GB200 NVL72</v>
      </c>
      <c r="W4" s="90" t="str">
        <f aca="false">Training!G4</f>
        <v>GB200 NVL72</v>
      </c>
      <c r="X4" s="90" t="str">
        <f aca="false">Training!H4</f>
        <v>GB200 NVL72</v>
      </c>
      <c r="Y4" s="90" t="str">
        <f aca="false">Training!I4</f>
        <v>GB300 NVL72</v>
      </c>
      <c r="Z4" s="90" t="str">
        <f aca="false">Training!J4</f>
        <v>GB300 NVL72</v>
      </c>
      <c r="AA4" s="90" t="str">
        <f aca="false">Training!K4</f>
        <v>GB300 NVL72</v>
      </c>
      <c r="AB4" s="90" t="str">
        <f aca="false">Training!L4</f>
        <v>VR200 NVL72</v>
      </c>
      <c r="AC4" s="90" t="str">
        <f aca="false">Training!M4</f>
        <v>VR200 NVL72</v>
      </c>
      <c r="AD4" s="90" t="str">
        <f aca="false">Training!N4</f>
        <v>VR200 NVL72</v>
      </c>
      <c r="AE4" s="90" t="str">
        <f aca="false">Training!O4</f>
        <v>Rubin Ultra（MGX NVL 單架，72 GPU）</v>
      </c>
      <c r="AF4" s="90" t="str">
        <f aca="false">Training!P4</f>
        <v>Rubin Ultra（MGX NVL 單架，72 GPU）</v>
      </c>
      <c r="AG4" s="90" t="str">
        <f aca="false">Training!Q4</f>
        <v>Rubin Ultra（MGX NVL 單架，72 GPU）</v>
      </c>
    </row>
    <row r="5" customFormat="false" ht="15" hidden="false" customHeight="false" outlineLevel="0" collapsed="false">
      <c r="A5" s="90" t="str">
        <f aca="false">Training!A5</f>
        <v>層級</v>
      </c>
      <c r="C5" s="90" t="str">
        <f aca="false">Training!C5</f>
        <v>Luna（低層）</v>
      </c>
      <c r="D5" s="90" t="str">
        <f aca="false">Training!D5</f>
        <v>Sol（中層）</v>
      </c>
      <c r="E5" s="90" t="str">
        <f aca="false">Training!E5</f>
        <v>Astra（頂層）</v>
      </c>
      <c r="F5" s="90" t="str">
        <f aca="false">Training!F5</f>
        <v>Luna（低層）</v>
      </c>
      <c r="G5" s="90" t="str">
        <f aca="false">Training!G5</f>
        <v>Sol（中層）</v>
      </c>
      <c r="H5" s="90" t="str">
        <f aca="false">Training!H5</f>
        <v>Astra（頂層）</v>
      </c>
      <c r="I5" s="90" t="str">
        <f aca="false">Training!I5</f>
        <v>Luna（低層）</v>
      </c>
      <c r="J5" s="90" t="str">
        <f aca="false">Training!J5</f>
        <v>Sol（中層）</v>
      </c>
      <c r="K5" s="90" t="str">
        <f aca="false">Training!K5</f>
        <v>Astra（頂層）</v>
      </c>
      <c r="L5" s="90" t="str">
        <f aca="false">Training!L5</f>
        <v>Luna（低層）</v>
      </c>
      <c r="M5" s="90" t="str">
        <f aca="false">Training!M5</f>
        <v>Sol（中層）</v>
      </c>
      <c r="N5" s="90" t="str">
        <f aca="false">Training!N5</f>
        <v>Astra（頂層）</v>
      </c>
      <c r="O5" s="90" t="str">
        <f aca="false">Training!O5</f>
        <v>Luna（低層）</v>
      </c>
      <c r="P5" s="90" t="str">
        <f aca="false">Training!P5</f>
        <v>Sol（中層）</v>
      </c>
      <c r="Q5" s="90" t="str">
        <f aca="false">Training!Q5</f>
        <v>Astra（頂層）</v>
      </c>
      <c r="S5" s="90" t="str">
        <f aca="false">Training!C5</f>
        <v>Luna（低層）</v>
      </c>
      <c r="T5" s="90" t="str">
        <f aca="false">Training!D5</f>
        <v>Sol（中層）</v>
      </c>
      <c r="U5" s="90" t="str">
        <f aca="false">Training!E5</f>
        <v>Astra（頂層）</v>
      </c>
      <c r="V5" s="90" t="str">
        <f aca="false">Training!F5</f>
        <v>Luna（低層）</v>
      </c>
      <c r="W5" s="90" t="str">
        <f aca="false">Training!G5</f>
        <v>Sol（中層）</v>
      </c>
      <c r="X5" s="90" t="str">
        <f aca="false">Training!H5</f>
        <v>Astra（頂層）</v>
      </c>
      <c r="Y5" s="90" t="str">
        <f aca="false">Training!I5</f>
        <v>Luna（低層）</v>
      </c>
      <c r="Z5" s="90" t="str">
        <f aca="false">Training!J5</f>
        <v>Sol（中層）</v>
      </c>
      <c r="AA5" s="90" t="str">
        <f aca="false">Training!K5</f>
        <v>Astra（頂層）</v>
      </c>
      <c r="AB5" s="90" t="str">
        <f aca="false">Training!L5</f>
        <v>Luna（低層）</v>
      </c>
      <c r="AC5" s="90" t="str">
        <f aca="false">Training!M5</f>
        <v>Sol（中層）</v>
      </c>
      <c r="AD5" s="90" t="str">
        <f aca="false">Training!N5</f>
        <v>Astra（頂層）</v>
      </c>
      <c r="AE5" s="90" t="str">
        <f aca="false">Training!O5</f>
        <v>Luna（低層）</v>
      </c>
      <c r="AF5" s="90" t="str">
        <f aca="false">Training!P5</f>
        <v>Sol（中層）</v>
      </c>
      <c r="AG5" s="90" t="str">
        <f aca="false">Training!Q5</f>
        <v>Astra（頂層）</v>
      </c>
    </row>
    <row r="6" customFormat="false" ht="15" hidden="false" customHeight="false" outlineLevel="0" collapsed="false">
      <c r="A6" s="90" t="str">
        <f aca="false">Training!A6</f>
        <v>世代索引</v>
      </c>
      <c r="C6" s="87" t="n">
        <f aca="false">Training!C6</f>
        <v>1</v>
      </c>
      <c r="D6" s="87" t="n">
        <f aca="false">Training!D6</f>
        <v>1</v>
      </c>
      <c r="E6" s="87" t="n">
        <f aca="false">Training!E6</f>
        <v>1</v>
      </c>
      <c r="F6" s="87" t="n">
        <f aca="false">Training!F6</f>
        <v>2</v>
      </c>
      <c r="G6" s="87" t="n">
        <f aca="false">Training!G6</f>
        <v>2</v>
      </c>
      <c r="H6" s="87" t="n">
        <f aca="false">Training!H6</f>
        <v>2</v>
      </c>
      <c r="I6" s="87" t="n">
        <f aca="false">Training!I6</f>
        <v>3</v>
      </c>
      <c r="J6" s="87" t="n">
        <f aca="false">Training!J6</f>
        <v>3</v>
      </c>
      <c r="K6" s="87" t="n">
        <f aca="false">Training!K6</f>
        <v>3</v>
      </c>
      <c r="L6" s="87" t="n">
        <f aca="false">Training!L6</f>
        <v>4</v>
      </c>
      <c r="M6" s="87" t="n">
        <f aca="false">Training!M6</f>
        <v>4</v>
      </c>
      <c r="N6" s="87" t="n">
        <f aca="false">Training!N6</f>
        <v>4</v>
      </c>
      <c r="O6" s="87" t="n">
        <f aca="false">Training!O6</f>
        <v>5</v>
      </c>
      <c r="P6" s="87" t="n">
        <f aca="false">Training!P6</f>
        <v>5</v>
      </c>
      <c r="Q6" s="87" t="n">
        <f aca="false">Training!Q6</f>
        <v>5</v>
      </c>
      <c r="S6" s="87" t="n">
        <f aca="false">Training!C6</f>
        <v>1</v>
      </c>
      <c r="T6" s="87" t="n">
        <f aca="false">Training!D6</f>
        <v>1</v>
      </c>
      <c r="U6" s="87" t="n">
        <f aca="false">Training!E6</f>
        <v>1</v>
      </c>
      <c r="V6" s="87" t="n">
        <f aca="false">Training!F6</f>
        <v>2</v>
      </c>
      <c r="W6" s="87" t="n">
        <f aca="false">Training!G6</f>
        <v>2</v>
      </c>
      <c r="X6" s="87" t="n">
        <f aca="false">Training!H6</f>
        <v>2</v>
      </c>
      <c r="Y6" s="87" t="n">
        <f aca="false">Training!I6</f>
        <v>3</v>
      </c>
      <c r="Z6" s="87" t="n">
        <f aca="false">Training!J6</f>
        <v>3</v>
      </c>
      <c r="AA6" s="87" t="n">
        <f aca="false">Training!K6</f>
        <v>3</v>
      </c>
      <c r="AB6" s="87" t="n">
        <f aca="false">Training!L6</f>
        <v>4</v>
      </c>
      <c r="AC6" s="87" t="n">
        <f aca="false">Training!M6</f>
        <v>4</v>
      </c>
      <c r="AD6" s="87" t="n">
        <f aca="false">Training!N6</f>
        <v>4</v>
      </c>
      <c r="AE6" s="87" t="n">
        <f aca="false">Training!O6</f>
        <v>5</v>
      </c>
      <c r="AF6" s="87" t="n">
        <f aca="false">Training!P6</f>
        <v>5</v>
      </c>
      <c r="AG6" s="87" t="n">
        <f aca="false">Training!Q6</f>
        <v>5</v>
      </c>
    </row>
    <row r="7" customFormat="false" ht="15" hidden="false" customHeight="false" outlineLevel="0" collapsed="false">
      <c r="A7" s="90" t="str">
        <f aca="false">Training!A7</f>
        <v>層級索引</v>
      </c>
      <c r="C7" s="87" t="n">
        <f aca="false">Training!C7</f>
        <v>1</v>
      </c>
      <c r="D7" s="87" t="n">
        <f aca="false">Training!D7</f>
        <v>2</v>
      </c>
      <c r="E7" s="87" t="n">
        <f aca="false">Training!E7</f>
        <v>3</v>
      </c>
      <c r="F7" s="87" t="n">
        <f aca="false">Training!F7</f>
        <v>1</v>
      </c>
      <c r="G7" s="87" t="n">
        <f aca="false">Training!G7</f>
        <v>2</v>
      </c>
      <c r="H7" s="87" t="n">
        <f aca="false">Training!H7</f>
        <v>3</v>
      </c>
      <c r="I7" s="87" t="n">
        <f aca="false">Training!I7</f>
        <v>1</v>
      </c>
      <c r="J7" s="87" t="n">
        <f aca="false">Training!J7</f>
        <v>2</v>
      </c>
      <c r="K7" s="87" t="n">
        <f aca="false">Training!K7</f>
        <v>3</v>
      </c>
      <c r="L7" s="87" t="n">
        <f aca="false">Training!L7</f>
        <v>1</v>
      </c>
      <c r="M7" s="87" t="n">
        <f aca="false">Training!M7</f>
        <v>2</v>
      </c>
      <c r="N7" s="87" t="n">
        <f aca="false">Training!N7</f>
        <v>3</v>
      </c>
      <c r="O7" s="87" t="n">
        <f aca="false">Training!O7</f>
        <v>1</v>
      </c>
      <c r="P7" s="87" t="n">
        <f aca="false">Training!P7</f>
        <v>2</v>
      </c>
      <c r="Q7" s="87" t="n">
        <f aca="false">Training!Q7</f>
        <v>3</v>
      </c>
      <c r="S7" s="87" t="n">
        <f aca="false">Training!C7</f>
        <v>1</v>
      </c>
      <c r="T7" s="87" t="n">
        <f aca="false">Training!D7</f>
        <v>2</v>
      </c>
      <c r="U7" s="87" t="n">
        <f aca="false">Training!E7</f>
        <v>3</v>
      </c>
      <c r="V7" s="87" t="n">
        <f aca="false">Training!F7</f>
        <v>1</v>
      </c>
      <c r="W7" s="87" t="n">
        <f aca="false">Training!G7</f>
        <v>2</v>
      </c>
      <c r="X7" s="87" t="n">
        <f aca="false">Training!H7</f>
        <v>3</v>
      </c>
      <c r="Y7" s="87" t="n">
        <f aca="false">Training!I7</f>
        <v>1</v>
      </c>
      <c r="Z7" s="87" t="n">
        <f aca="false">Training!J7</f>
        <v>2</v>
      </c>
      <c r="AA7" s="87" t="n">
        <f aca="false">Training!K7</f>
        <v>3</v>
      </c>
      <c r="AB7" s="87" t="n">
        <f aca="false">Training!L7</f>
        <v>1</v>
      </c>
      <c r="AC7" s="87" t="n">
        <f aca="false">Training!M7</f>
        <v>2</v>
      </c>
      <c r="AD7" s="87" t="n">
        <f aca="false">Training!N7</f>
        <v>3</v>
      </c>
      <c r="AE7" s="87" t="n">
        <f aca="false">Training!O7</f>
        <v>1</v>
      </c>
      <c r="AF7" s="87" t="n">
        <f aca="false">Training!P7</f>
        <v>2</v>
      </c>
      <c r="AG7" s="87" t="n">
        <f aca="false">Training!Q7</f>
        <v>3</v>
      </c>
    </row>
    <row r="59" customFormat="false" ht="15" hidden="false" customHeight="false" outlineLevel="0" collapsed="false">
      <c r="A59" s="59" t="s">
        <v>1027</v>
      </c>
      <c r="B59" s="56" t="s">
        <v>791</v>
      </c>
      <c r="C59" s="96" t="n">
        <f aca="false">INDEX(Perf_Batch_Prod!$C$103:$Q$103,3*(Training!C$6-1)+Training!C$7)</f>
        <v>775.687544110821</v>
      </c>
      <c r="D59" s="96" t="n">
        <f aca="false">INDEX(Perf_Batch_Prod!$C$103:$Q$103,3*(Training!D$6-1)+Training!D$7)</f>
        <v>3014.07232280869</v>
      </c>
      <c r="E59" s="96" t="n">
        <f aca="false">INDEX(Perf_Batch_Prod!$C$103:$Q$103,3*(Training!E$6-1)+Training!E$7)</f>
        <v>13566.6459890236</v>
      </c>
      <c r="F59" s="96" t="n">
        <f aca="false">INDEX(Perf_Batch_Prod!$C$103:$Q$103,3*(Training!F$6-1)+Training!F$7)</f>
        <v>218.442050723223</v>
      </c>
      <c r="G59" s="96" t="n">
        <f aca="false">INDEX(Perf_Batch_Prod!$C$103:$Q$103,3*(Training!G$6-1)+Training!G$7)</f>
        <v>808.501689825966</v>
      </c>
      <c r="H59" s="96" t="n">
        <f aca="false">INDEX(Perf_Batch_Prod!$C$103:$Q$103,3*(Training!H$6-1)+Training!H$7)</f>
        <v>3576.28654488944</v>
      </c>
      <c r="I59" s="96" t="n">
        <f aca="false">INDEX(Perf_Batch_Prod!$C$103:$Q$103,3*(Training!I$6-1)+Training!I$7)</f>
        <v>145.628033815482</v>
      </c>
      <c r="J59" s="96" t="n">
        <f aca="false">INDEX(Perf_Batch_Prod!$C$103:$Q$103,3*(Training!J$6-1)+Training!J$7)</f>
        <v>539.001126550644</v>
      </c>
      <c r="K59" s="96" t="n">
        <f aca="false">INDEX(Perf_Batch_Prod!$C$103:$Q$103,3*(Training!K$6-1)+Training!K$7)</f>
        <v>2476.60330709747</v>
      </c>
      <c r="L59" s="96" t="n">
        <f aca="false">INDEX(Perf_Batch_Prod!$C$103:$Q$103,3*(Training!L$6-1)+Training!L$7)</f>
        <v>82.6350450019253</v>
      </c>
      <c r="M59" s="96" t="n">
        <f aca="false">INDEX(Perf_Batch_Prod!$C$103:$Q$103,3*(Training!M$6-1)+Training!M$7)</f>
        <v>297.521341356864</v>
      </c>
      <c r="N59" s="96" t="n">
        <f aca="false">INDEX(Perf_Batch_Prod!$C$103:$Q$103,3*(Training!N$6-1)+Training!N$7)</f>
        <v>1284.04767133778</v>
      </c>
      <c r="O59" s="96" t="n">
        <f aca="false">INDEX(Perf_Batch_Prod!$C$103:$Q$103,3*(Training!O$6-1)+Training!O$7)</f>
        <v>30.9294336488276</v>
      </c>
      <c r="P59" s="96" t="n">
        <f aca="false">INDEX(Perf_Batch_Prod!$C$103:$Q$103,3*(Training!P$6-1)+Training!P$7)</f>
        <v>110.472600005976</v>
      </c>
      <c r="Q59" s="96" t="n">
        <f aca="false">INDEX(Perf_Batch_Prod!$C$103:$Q$103,3*(Training!Q$6-1)+Training!Q$7)</f>
        <v>468.760063260726</v>
      </c>
      <c r="S59" s="96" t="n">
        <f aca="false">INDEX(Perf_Batch_Prod!$S$103:$AG$103,3*(Training!C$6-1)+Training!C$7)</f>
        <v>647.843275615986</v>
      </c>
      <c r="T59" s="96" t="n">
        <f aca="false">INDEX(Perf_Batch_Prod!$S$103:$AG$103,3*(Training!D$6-1)+Training!D$7)</f>
        <v>2492.54531323676</v>
      </c>
      <c r="U59" s="96" t="n">
        <f aca="false">INDEX(Perf_Batch_Prod!$S$103:$AG$103,3*(Training!E$6-1)+Training!E$7)</f>
        <v>10965.660079333</v>
      </c>
      <c r="V59" s="96" t="n">
        <f aca="false">INDEX(Perf_Batch_Prod!$S$103:$AG$103,3*(Training!F$6-1)+Training!F$7)</f>
        <v>183.615945499964</v>
      </c>
      <c r="W59" s="96" t="n">
        <f aca="false">INDEX(Perf_Batch_Prod!$S$103:$AG$103,3*(Training!G$6-1)+Training!G$7)</f>
        <v>675.887022941722</v>
      </c>
      <c r="X59" s="96" t="n">
        <f aca="false">INDEX(Perf_Batch_Prod!$S$103:$AG$103,3*(Training!H$6-1)+Training!H$7)</f>
        <v>2949.71050251776</v>
      </c>
      <c r="Y59" s="96" t="n">
        <f aca="false">INDEX(Perf_Batch_Prod!$S$103:$AG$103,3*(Training!I$6-1)+Training!I$7)</f>
        <v>122.410630333309</v>
      </c>
      <c r="Z59" s="96" t="n">
        <f aca="false">INDEX(Perf_Batch_Prod!$S$103:$AG$103,3*(Training!J$6-1)+Training!J$7)</f>
        <v>450.591348627815</v>
      </c>
      <c r="AA59" s="96" t="n">
        <f aca="false">INDEX(Perf_Batch_Prod!$S$103:$AG$103,3*(Training!K$6-1)+Training!K$7)</f>
        <v>2040.35012947353</v>
      </c>
      <c r="AB59" s="96" t="n">
        <f aca="false">INDEX(Perf_Batch_Prod!$S$103:$AG$103,3*(Training!L$6-1)+Training!L$7)</f>
        <v>69.4659618522901</v>
      </c>
      <c r="AC59" s="96" t="n">
        <f aca="false">INDEX(Perf_Batch_Prod!$S$103:$AG$103,3*(Training!M$6-1)+Training!M$7)</f>
        <v>248.860047861003</v>
      </c>
      <c r="AD59" s="96" t="n">
        <f aca="false">INDEX(Perf_Batch_Prod!$S$103:$AG$103,3*(Training!N$6-1)+Training!N$7)</f>
        <v>1060.88763337202</v>
      </c>
      <c r="AE59" s="96" t="n">
        <f aca="false">INDEX(Perf_Batch_Prod!$S$103:$AG$103,3*(Training!O$6-1)+Training!O$7)</f>
        <v>26.0009261591734</v>
      </c>
      <c r="AF59" s="96" t="n">
        <f aca="false">INDEX(Perf_Batch_Prod!$S$103:$AG$103,3*(Training!P$6-1)+Training!P$7)</f>
        <v>92.4186867627377</v>
      </c>
      <c r="AG59" s="96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9" t="s">
        <v>1028</v>
      </c>
      <c r="B60" s="56" t="s">
        <v>791</v>
      </c>
      <c r="C60" s="96" t="n">
        <f aca="false">INDEX(Perf_Batch_Prod!$C$101:$Q$101,3*(Training!C$6-1)+Training!C$7)</f>
        <v>128.099029470878</v>
      </c>
      <c r="D60" s="96" t="n">
        <f aca="false">INDEX(Perf_Batch_Prod!$C$101:$Q$101,3*(Training!D$6-1)+Training!D$7)</f>
        <v>521.520531911449</v>
      </c>
      <c r="E60" s="96" t="n">
        <f aca="false">INDEX(Perf_Batch_Prod!$C$101:$Q$101,3*(Training!E$6-1)+Training!E$7)</f>
        <v>1587.12630464522</v>
      </c>
      <c r="F60" s="96" t="n">
        <f aca="false">INDEX(Perf_Batch_Prod!$C$101:$Q$101,3*(Training!F$6-1)+Training!F$7)</f>
        <v>12.6689940146698</v>
      </c>
      <c r="G60" s="96" t="n">
        <f aca="false">INDEX(Perf_Batch_Prod!$C$101:$Q$101,3*(Training!G$6-1)+Training!G$7)</f>
        <v>51.5783806060424</v>
      </c>
      <c r="H60" s="96" t="n">
        <f aca="false">INDEX(Perf_Batch_Prod!$C$101:$Q$101,3*(Training!H$6-1)+Training!H$7)</f>
        <v>156.966791529412</v>
      </c>
      <c r="I60" s="96" t="n">
        <f aca="false">INDEX(Perf_Batch_Prod!$C$101:$Q$101,3*(Training!I$6-1)+Training!I$7)</f>
        <v>8.44599600977987</v>
      </c>
      <c r="J60" s="96" t="n">
        <f aca="false">INDEX(Perf_Batch_Prod!$C$101:$Q$101,3*(Training!J$6-1)+Training!J$7)</f>
        <v>34.3855870706949</v>
      </c>
      <c r="K60" s="96" t="n">
        <f aca="false">INDEX(Perf_Batch_Prod!$C$101:$Q$101,3*(Training!K$6-1)+Training!K$7)</f>
        <v>104.644527686275</v>
      </c>
      <c r="L60" s="96" t="n">
        <f aca="false">INDEX(Perf_Batch_Prod!$C$101:$Q$101,3*(Training!L$6-1)+Training!L$7)</f>
        <v>3.61971257561994</v>
      </c>
      <c r="M60" s="96" t="n">
        <f aca="false">INDEX(Perf_Batch_Prod!$C$101:$Q$101,3*(Training!M$6-1)+Training!M$7)</f>
        <v>14.736680173155</v>
      </c>
      <c r="N60" s="96" t="n">
        <f aca="false">INDEX(Perf_Batch_Prod!$C$101:$Q$101,3*(Training!N$6-1)+Training!N$7)</f>
        <v>44.8476547226891</v>
      </c>
      <c r="O60" s="96" t="n">
        <f aca="false">INDEX(Perf_Batch_Prod!$C$101:$Q$101,3*(Training!O$6-1)+Training!O$7)</f>
        <v>1.80985628780997</v>
      </c>
      <c r="P60" s="96" t="n">
        <f aca="false">INDEX(Perf_Batch_Prod!$C$101:$Q$101,3*(Training!P$6-1)+Training!P$7)</f>
        <v>7.36834008657748</v>
      </c>
      <c r="Q60" s="96" t="n">
        <f aca="false">INDEX(Perf_Batch_Prod!$C$101:$Q$101,3*(Training!Q$6-1)+Training!Q$7)</f>
        <v>22.4238273613445</v>
      </c>
      <c r="S60" s="96" t="n">
        <f aca="false">INDEX(Perf_Batch_Prod!$S$101:$AG$101,3*(Training!C$6-1)+Training!C$7)</f>
        <v>108.884175050246</v>
      </c>
      <c r="T60" s="96" t="n">
        <f aca="false">INDEX(Perf_Batch_Prod!$S$101:$AG$101,3*(Training!D$6-1)+Training!D$7)</f>
        <v>443.292452124732</v>
      </c>
      <c r="U60" s="96" t="n">
        <f aca="false">INDEX(Perf_Batch_Prod!$S$101:$AG$101,3*(Training!E$6-1)+Training!E$7)</f>
        <v>1349.05735894843</v>
      </c>
      <c r="V60" s="96" t="n">
        <f aca="false">INDEX(Perf_Batch_Prod!$S$101:$AG$101,3*(Training!F$6-1)+Training!F$7)</f>
        <v>10.7686449124693</v>
      </c>
      <c r="W60" s="96" t="n">
        <f aca="false">INDEX(Perf_Batch_Prod!$S$101:$AG$101,3*(Training!G$6-1)+Training!G$7)</f>
        <v>43.841623515136</v>
      </c>
      <c r="X60" s="96" t="n">
        <f aca="false">INDEX(Perf_Batch_Prod!$S$101:$AG$101,3*(Training!H$6-1)+Training!H$7)</f>
        <v>133.4217728</v>
      </c>
      <c r="Y60" s="96" t="n">
        <f aca="false">INDEX(Perf_Batch_Prod!$S$101:$AG$101,3*(Training!I$6-1)+Training!I$7)</f>
        <v>7.17909660831289</v>
      </c>
      <c r="Z60" s="96" t="n">
        <f aca="false">INDEX(Perf_Batch_Prod!$S$101:$AG$101,3*(Training!J$6-1)+Training!J$7)</f>
        <v>29.2277490100907</v>
      </c>
      <c r="AA60" s="96" t="n">
        <f aca="false">INDEX(Perf_Batch_Prod!$S$101:$AG$101,3*(Training!K$6-1)+Training!K$7)</f>
        <v>88.9478485333333</v>
      </c>
      <c r="AB60" s="96" t="n">
        <f aca="false">INDEX(Perf_Batch_Prod!$S$101:$AG$101,3*(Training!L$6-1)+Training!L$7)</f>
        <v>3.07675568927695</v>
      </c>
      <c r="AC60" s="96" t="n">
        <f aca="false">INDEX(Perf_Batch_Prod!$S$101:$AG$101,3*(Training!M$6-1)+Training!M$7)</f>
        <v>12.5261781471817</v>
      </c>
      <c r="AD60" s="96" t="n">
        <f aca="false">INDEX(Perf_Batch_Prod!$S$101:$AG$101,3*(Training!N$6-1)+Training!N$7)</f>
        <v>38.1205065142857</v>
      </c>
      <c r="AE60" s="96" t="n">
        <f aca="false">INDEX(Perf_Batch_Prod!$S$101:$AG$101,3*(Training!O$6-1)+Training!O$7)</f>
        <v>1.53837784463848</v>
      </c>
      <c r="AF60" s="96" t="n">
        <f aca="false">INDEX(Perf_Batch_Prod!$S$101:$AG$101,3*(Training!P$6-1)+Training!P$7)</f>
        <v>6.26308907359086</v>
      </c>
      <c r="AG60" s="96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9" t="s">
        <v>1033</v>
      </c>
      <c r="B65" s="56" t="s">
        <v>1010</v>
      </c>
      <c r="C65" s="60" t="n">
        <f aca="false">IF(AND(ISNUMBER(Training_Prod!C59)),(Training!C53*1000000*Training_Prod!C59+Training!C58*1000000*Training_Prod!C60)/3600/Training!C64,"SLO 不可達")</f>
        <v>601330.035138894</v>
      </c>
      <c r="D65" s="60" t="n">
        <f aca="false">IF(AND(ISNUMBER(Training_Prod!D59)),(Training!D53*1000000*Training_Prod!D59+Training!D58*1000000*Training_Prod!D60)/3600/Training!D64,"SLO 不可達")</f>
        <v>2337147.98073758</v>
      </c>
      <c r="E65" s="60" t="n">
        <f aca="false">IF(AND(ISNUMBER(Training_Prod!E59)),(Training!E53*1000000*Training_Prod!E59+Training!E58*1000000*Training_Prod!E60)/3600/Training!E64,"SLO 不可達")</f>
        <v>42717627.2503333</v>
      </c>
      <c r="F65" s="60" t="n">
        <f aca="false">IF(AND(ISNUMBER(Training_Prod!F59)),(Training!F53*1000000*Training_Prod!F59+Training!F58*1000000*Training_Prod!F60)/3600/Training!F64,"SLO 不可達")</f>
        <v>168776.986279539</v>
      </c>
      <c r="G65" s="60" t="n">
        <f aca="false">IF(AND(ISNUMBER(Training_Prod!G59)),(Training!G53*1000000*Training_Prod!G59+Training!G58*1000000*Training_Prod!G60)/3600/Training!G64,"SLO 不可達")</f>
        <v>624793.429267639</v>
      </c>
      <c r="H65" s="60" t="n">
        <f aca="false">IF(AND(ISNUMBER(Training_Prod!H59)),(Training!H53*1000000*Training_Prod!H59+Training!H58*1000000*Training_Prod!H60)/3600/Training!H64,"SLO 不可達")</f>
        <v>11235111.3949011</v>
      </c>
      <c r="I65" s="60" t="n">
        <f aca="false">IF(AND(ISNUMBER(Training_Prod!I59)),(Training!I53*1000000*Training_Prod!I59+Training!I58*1000000*Training_Prod!I60)/3600/Training!I64,"SLO 不可達")</f>
        <v>112517.990853026</v>
      </c>
      <c r="J65" s="60" t="n">
        <f aca="false">IF(AND(ISNUMBER(Training_Prod!J59)),(Training!J53*1000000*Training_Prod!J59+Training!J58*1000000*Training_Prod!J60)/3600/Training!J64,"SLO 不可達")</f>
        <v>416528.952845093</v>
      </c>
      <c r="K65" s="60" t="n">
        <f aca="false">IF(AND(ISNUMBER(Training_Prod!K59)),(Training!K53*1000000*Training_Prod!K59+Training!K58*1000000*Training_Prod!K60)/3600/Training!K64,"SLO 不可達")</f>
        <v>7779995.13282406</v>
      </c>
      <c r="L65" s="60" t="n">
        <f aca="false">IF(AND(ISNUMBER(Training_Prod!L59)),(Training!L53*1000000*Training_Prod!L59+Training!L58*1000000*Training_Prod!L60)/3600/Training!L64,"SLO 不可達")</f>
        <v>63818.8431395411</v>
      </c>
      <c r="M65" s="60" t="n">
        <f aca="false">IF(AND(ISNUMBER(Training_Prod!M59)),(Training!M53*1000000*Training_Prod!M59+Training!M58*1000000*Training_Prod!M60)/3600/Training!M64,"SLO 不可達")</f>
        <v>229816.077047376</v>
      </c>
      <c r="N65" s="60" t="n">
        <f aca="false">IF(AND(ISNUMBER(Training_Prod!N59)),(Training!N53*1000000*Training_Prod!N59+Training!N58*1000000*Training_Prod!N60)/3600/Training!N64,"SLO 不可達")</f>
        <v>4032781.68015017</v>
      </c>
      <c r="O65" s="60" t="n">
        <f aca="false">IF(AND(ISNUMBER(Training_Prod!O59)),(Training!O53*1000000*Training_Prod!O59+Training!O58*1000000*Training_Prod!O60)/3600/Training!O64,"SLO 不可達")</f>
        <v>23897.6929125684</v>
      </c>
      <c r="P65" s="60" t="n">
        <f aca="false">IF(AND(ISNUMBER(Training_Prod!P59)),(Training!P53*1000000*Training_Prod!P59+Training!P58*1000000*Training_Prod!P60)/3600/Training!P64,"SLO 不可達")</f>
        <v>85378.6768285909</v>
      </c>
      <c r="Q65" s="60" t="n">
        <f aca="false">IF(AND(ISNUMBER(Training_Prod!Q59)),(Training!Q53*1000000*Training_Prod!Q59+Training!Q58*1000000*Training_Prod!Q60)/3600/Training!Q64,"SLO 不可達")</f>
        <v>1472818.22075535</v>
      </c>
      <c r="S65" s="60" t="n">
        <f aca="false">IF(AND(ISNUMBER(Training_Prod!S59)),(Training!C53*1000000*Training_Prod!S59+Training!C58*1000000*Training_Prod!S60)/3600/Training!C64,"SLO 不可達")</f>
        <v>502268.084432576</v>
      </c>
      <c r="T65" s="60" t="n">
        <f aca="false">IF(AND(ISNUMBER(Training_Prod!T59)),(Training!D53*1000000*Training_Prod!T59+Training!D58*1000000*Training_Prod!T60)/3600/Training!D64,"SLO 不可達")</f>
        <v>1933039.13646502</v>
      </c>
      <c r="U65" s="60" t="n">
        <f aca="false">IF(AND(ISNUMBER(Training_Prod!U59)),(Training!E53*1000000*Training_Prod!U59+Training!E58*1000000*Training_Prod!U60)/3600/Training!E64,"SLO 不可達")</f>
        <v>34534331.3625101</v>
      </c>
      <c r="V65" s="60" t="n">
        <f aca="false">IF(AND(ISNUMBER(Training_Prod!V59)),(Training!F53*1000000*Training_Prod!V59+Training!F58*1000000*Training_Prod!V60)/3600/Training!F64,"SLO 不可達")</f>
        <v>141871.836255624</v>
      </c>
      <c r="W65" s="60" t="n">
        <f aca="false">IF(AND(ISNUMBER(Training_Prod!W59)),(Training!G53*1000000*Training_Prod!W59+Training!G58*1000000*Training_Prod!W60)/3600/Training!G64,"SLO 不可達")</f>
        <v>522328.984927028</v>
      </c>
      <c r="X65" s="60" t="n">
        <f aca="false">IF(AND(ISNUMBER(Training_Prod!X59)),(Training!H53*1000000*Training_Prod!X59+Training!H58*1000000*Training_Prod!X60)/3600/Training!H64,"SLO 不可達")</f>
        <v>9267074.29934984</v>
      </c>
      <c r="Y65" s="60" t="n">
        <f aca="false">IF(AND(ISNUMBER(Training_Prod!Y59)),(Training!I53*1000000*Training_Prod!Y59+Training!I58*1000000*Training_Prod!Y60)/3600/Training!I64,"SLO 不可達")</f>
        <v>94581.224170416</v>
      </c>
      <c r="Z65" s="60" t="n">
        <f aca="false">IF(AND(ISNUMBER(Training_Prod!Z59)),(Training!J53*1000000*Training_Prod!Z59+Training!J58*1000000*Training_Prod!Z60)/3600/Training!J64,"SLO 不可達")</f>
        <v>348219.323284685</v>
      </c>
      <c r="AA65" s="60" t="n">
        <f aca="false">IF(AND(ISNUMBER(Training_Prod!AA59)),(Training!K53*1000000*Training_Prod!AA59+Training!K58*1000000*Training_Prod!AA60)/3600/Training!K64,"SLO 不可達")</f>
        <v>6409818.82271434</v>
      </c>
      <c r="AB65" s="60" t="n">
        <f aca="false">IF(AND(ISNUMBER(Training_Prod!AB59)),(Training!L53*1000000*Training_Prod!AB59+Training!L58*1000000*Training_Prod!AB60)/3600/Training!L64,"SLO 不可達")</f>
        <v>53649.2093802251</v>
      </c>
      <c r="AC65" s="60" t="n">
        <f aca="false">IF(AND(ISNUMBER(Training_Prod!AC59)),(Training!M53*1000000*Training_Prod!AC59+Training!M58*1000000*Training_Prod!AC60)/3600/Training!M64,"SLO 不可達")</f>
        <v>192233.176009909</v>
      </c>
      <c r="AD65" s="60" t="n">
        <f aca="false">IF(AND(ISNUMBER(Training_Prod!AD59)),(Training!N53*1000000*Training_Prod!AD59+Training!N58*1000000*Training_Prod!AD60)/3600/Training!N64,"SLO 不可達")</f>
        <v>3332012.23278618</v>
      </c>
      <c r="AE65" s="60" t="n">
        <f aca="false">IF(AND(ISNUMBER(Training_Prod!AE59)),(Training!O53*1000000*Training_Prod!AE59+Training!O58*1000000*Training_Prod!AE60)/3600/Training!O64,"SLO 不可達")</f>
        <v>20090.0787914024</v>
      </c>
      <c r="AF65" s="60" t="n">
        <f aca="false">IF(AND(ISNUMBER(Training_Prod!AF59)),(Training!P53*1000000*Training_Prod!AF59+Training!P58*1000000*Training_Prod!AF60)/3600/Training!P64,"SLO 不可達")</f>
        <v>71428.1057448491</v>
      </c>
      <c r="AG65" s="60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59" t="s">
        <v>1043</v>
      </c>
      <c r="B75" s="56" t="s">
        <v>1010</v>
      </c>
      <c r="C75" s="164" t="n">
        <f aca="false">IF(AND(ISNUMBER(Training_Prod!C65)),Training_Prod!C65+Training!C72+Training!C74,"SLO 不可達")</f>
        <v>1028354.20030994</v>
      </c>
      <c r="D75" s="164" t="n">
        <f aca="false">IF(AND(ISNUMBER(Training_Prod!D65)),Training_Prod!D65+Training!D72+Training!D74,"SLO 不可達")</f>
        <v>3806288.04645576</v>
      </c>
      <c r="E75" s="164" t="n">
        <f aca="false">IF(AND(ISNUMBER(Training_Prod!E65)),Training_Prod!E65+Training!E72+Training!E74,"SLO 不可達")</f>
        <v>64313088.7157198</v>
      </c>
      <c r="F75" s="164" t="n">
        <f aca="false">IF(AND(ISNUMBER(Training_Prod!F65)),Training_Prod!F65+Training!F72+Training!F74,"SLO 不可達")</f>
        <v>337793.15085424</v>
      </c>
      <c r="G75" s="164" t="n">
        <f aca="false">IF(AND(ISNUMBER(Training_Prod!G65)),Training_Prod!G65+Training!G72+Training!G74,"SLO 不可達")</f>
        <v>1206279.0672789</v>
      </c>
      <c r="H75" s="164" t="n">
        <f aca="false">IF(AND(ISNUMBER(Training_Prod!H65)),Training_Prod!H65+Training!H72+Training!H74,"SLO 不可達")</f>
        <v>19782595.0429011</v>
      </c>
      <c r="I75" s="164" t="n">
        <f aca="false">IF(AND(ISNUMBER(Training_Prod!I65)),Training_Prod!I65+Training!I72+Training!I74,"SLO 不可達")</f>
        <v>281534.155427727</v>
      </c>
      <c r="J75" s="164" t="n">
        <f aca="false">IF(AND(ISNUMBER(Training_Prod!J65)),Training_Prod!J65+Training!J72+Training!J74,"SLO 不可達")</f>
        <v>998014.590856352</v>
      </c>
      <c r="K75" s="164" t="n">
        <f aca="false">IF(AND(ISNUMBER(Training_Prod!K65)),Training_Prod!K65+Training!K72+Training!K74,"SLO 不可達")</f>
        <v>16327478.7808241</v>
      </c>
      <c r="L75" s="164" t="n">
        <f aca="false">IF(AND(ISNUMBER(Training_Prod!L65)),Training_Prod!L65+Training!L72+Training!L74,"SLO 不可達")</f>
        <v>117474.768401351</v>
      </c>
      <c r="M75" s="164" t="n">
        <f aca="false">IF(AND(ISNUMBER(Training_Prod!M65)),Training_Prod!M65+Training!M72+Training!M74,"SLO 不可達")</f>
        <v>414414.692289046</v>
      </c>
      <c r="N75" s="164" t="n">
        <f aca="false">IF(AND(ISNUMBER(Training_Prod!N65)),Training_Prod!N65+Training!N72+Training!N74,"SLO 不可達")</f>
        <v>6746268.55253112</v>
      </c>
      <c r="O75" s="164" t="n">
        <f aca="false">IF(AND(ISNUMBER(Training_Prod!O65)),Training_Prod!O65+Training!O72+Training!O74,"SLO 不可達")</f>
        <v>50725.6555434733</v>
      </c>
      <c r="P75" s="164" t="n">
        <f aca="false">IF(AND(ISNUMBER(Training_Prod!P65)),Training_Prod!P65+Training!P72+Training!P74,"SLO 不可達")</f>
        <v>177677.984449426</v>
      </c>
      <c r="Q75" s="164" t="n">
        <f aca="false">IF(AND(ISNUMBER(Training_Prod!Q65)),Training_Prod!Q65+Training!Q72+Training!Q74,"SLO 不可達")</f>
        <v>2829561.65694583</v>
      </c>
      <c r="S75" s="164" t="n">
        <f aca="false">IF(AND(ISNUMBER(Training_Prod!S65)),Training_Prod!S65+Training!C72+Training!C74,"SLO 不可達")</f>
        <v>929292.249603625</v>
      </c>
      <c r="T75" s="164" t="n">
        <f aca="false">IF(AND(ISNUMBER(Training_Prod!T65)),Training_Prod!T65+Training!D72+Training!D74,"SLO 不可達")</f>
        <v>3402179.20218321</v>
      </c>
      <c r="U75" s="164" t="n">
        <f aca="false">IF(AND(ISNUMBER(Training_Prod!U65)),Training_Prod!U65+Training!E72+Training!E74,"SLO 不可達")</f>
        <v>56129792.8278966</v>
      </c>
      <c r="V75" s="164" t="n">
        <f aca="false">IF(AND(ISNUMBER(Training_Prod!V65)),Training_Prod!V65+Training!F72+Training!F74,"SLO 不可達")</f>
        <v>310888.000830325</v>
      </c>
      <c r="W75" s="164" t="n">
        <f aca="false">IF(AND(ISNUMBER(Training_Prod!W65)),Training_Prod!W65+Training!G72+Training!G74,"SLO 不可達")</f>
        <v>1103814.62293829</v>
      </c>
      <c r="X75" s="164" t="n">
        <f aca="false">IF(AND(ISNUMBER(Training_Prod!X65)),Training_Prod!X65+Training!H72+Training!H74,"SLO 不可達")</f>
        <v>17814557.9473498</v>
      </c>
      <c r="Y75" s="164" t="n">
        <f aca="false">IF(AND(ISNUMBER(Training_Prod!Y65)),Training_Prod!Y65+Training!I72+Training!I74,"SLO 不可達")</f>
        <v>263597.388745117</v>
      </c>
      <c r="Z75" s="164" t="n">
        <f aca="false">IF(AND(ISNUMBER(Training_Prod!Z65)),Training_Prod!Z65+Training!J72+Training!J74,"SLO 不可達")</f>
        <v>929704.961295945</v>
      </c>
      <c r="AA75" s="164" t="n">
        <f aca="false">IF(AND(ISNUMBER(Training_Prod!AA65)),Training_Prod!AA65+Training!K72+Training!K74,"SLO 不可達")</f>
        <v>14957302.4707143</v>
      </c>
      <c r="AB75" s="164" t="n">
        <f aca="false">IF(AND(ISNUMBER(Training_Prod!AB65)),Training_Prod!AB65+Training!L72+Training!L74,"SLO 不可達")</f>
        <v>107305.134642035</v>
      </c>
      <c r="AC75" s="164" t="n">
        <f aca="false">IF(AND(ISNUMBER(Training_Prod!AC65)),Training_Prod!AC65+Training!M72+Training!M74,"SLO 不可達")</f>
        <v>376831.791251579</v>
      </c>
      <c r="AD75" s="164" t="n">
        <f aca="false">IF(AND(ISNUMBER(Training_Prod!AD65)),Training_Prod!AD65+Training!N72+Training!N74,"SLO 不可達")</f>
        <v>6045499.10516714</v>
      </c>
      <c r="AE75" s="164" t="n">
        <f aca="false">IF(AND(ISNUMBER(Training_Prod!AE65)),Training_Prod!AE65+Training!O72+Training!O74,"SLO 不可達")</f>
        <v>46918.0414223073</v>
      </c>
      <c r="AF75" s="164" t="n">
        <f aca="false">IF(AND(ISNUMBER(Training_Prod!AF65)),Training_Prod!AF65+Training!P72+Training!P74,"SLO 不可達")</f>
        <v>163727.413365684</v>
      </c>
      <c r="AG75" s="164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58" t="s">
        <v>1052</v>
      </c>
      <c r="B84" s="56" t="s">
        <v>791</v>
      </c>
      <c r="C84" s="96" t="n">
        <f aca="false">INDEX(Perf_Batch_Prod!$C$101:$Q$101,3*(Training!C$6-1)+Training!C82)</f>
        <v>128.099029470878</v>
      </c>
      <c r="D84" s="96" t="n">
        <f aca="false">INDEX(Perf_Batch_Prod!$C$101:$Q$101,3*(Training!D$6-1)+Training!D82)</f>
        <v>521.520531911449</v>
      </c>
      <c r="E84" s="96" t="n">
        <f aca="false">INDEX(Perf_Batch_Prod!$C$101:$Q$101,3*(Training!E$6-1)+Training!E82)</f>
        <v>1587.12630464522</v>
      </c>
      <c r="F84" s="96" t="n">
        <f aca="false">INDEX(Perf_Batch_Prod!$C$101:$Q$101,3*(Training!F$6-1)+Training!F82)</f>
        <v>12.6689940146698</v>
      </c>
      <c r="G84" s="96" t="n">
        <f aca="false">INDEX(Perf_Batch_Prod!$C$101:$Q$101,3*(Training!G$6-1)+Training!G82)</f>
        <v>51.5783806060424</v>
      </c>
      <c r="H84" s="96" t="n">
        <f aca="false">INDEX(Perf_Batch_Prod!$C$101:$Q$101,3*(Training!H$6-1)+Training!H82)</f>
        <v>156.966791529412</v>
      </c>
      <c r="I84" s="96" t="n">
        <f aca="false">INDEX(Perf_Batch_Prod!$C$101:$Q$101,3*(Training!I$6-1)+Training!I82)</f>
        <v>8.44599600977987</v>
      </c>
      <c r="J84" s="96" t="n">
        <f aca="false">INDEX(Perf_Batch_Prod!$C$101:$Q$101,3*(Training!J$6-1)+Training!J82)</f>
        <v>34.3855870706949</v>
      </c>
      <c r="K84" s="96" t="n">
        <f aca="false">INDEX(Perf_Batch_Prod!$C$101:$Q$101,3*(Training!K$6-1)+Training!K82)</f>
        <v>104.644527686275</v>
      </c>
      <c r="L84" s="96" t="n">
        <f aca="false">INDEX(Perf_Batch_Prod!$C$101:$Q$101,3*(Training!L$6-1)+Training!L82)</f>
        <v>3.61971257561994</v>
      </c>
      <c r="M84" s="96" t="n">
        <f aca="false">INDEX(Perf_Batch_Prod!$C$101:$Q$101,3*(Training!M$6-1)+Training!M82)</f>
        <v>14.736680173155</v>
      </c>
      <c r="N84" s="96" t="n">
        <f aca="false">INDEX(Perf_Batch_Prod!$C$101:$Q$101,3*(Training!N$6-1)+Training!N82)</f>
        <v>44.8476547226891</v>
      </c>
      <c r="O84" s="96" t="n">
        <f aca="false">INDEX(Perf_Batch_Prod!$C$101:$Q$101,3*(Training!O$6-1)+Training!O82)</f>
        <v>1.80985628780997</v>
      </c>
      <c r="P84" s="96" t="n">
        <f aca="false">INDEX(Perf_Batch_Prod!$C$101:$Q$101,3*(Training!P$6-1)+Training!P82)</f>
        <v>7.36834008657748</v>
      </c>
      <c r="Q84" s="96" t="n">
        <f aca="false">INDEX(Perf_Batch_Prod!$C$101:$Q$101,3*(Training!Q$6-1)+Training!Q82)</f>
        <v>22.4238273613445</v>
      </c>
      <c r="S84" s="96" t="n">
        <f aca="false">INDEX(Perf_Batch_Prod!$S$101:$AG$101,3*(Training!C$6-1)+Training!C82)</f>
        <v>108.884175050246</v>
      </c>
      <c r="T84" s="96" t="n">
        <f aca="false">INDEX(Perf_Batch_Prod!$S$101:$AG$101,3*(Training!D$6-1)+Training!D82)</f>
        <v>443.292452124732</v>
      </c>
      <c r="U84" s="96" t="n">
        <f aca="false">INDEX(Perf_Batch_Prod!$S$101:$AG$101,3*(Training!E$6-1)+Training!E82)</f>
        <v>1349.05735894843</v>
      </c>
      <c r="V84" s="96" t="n">
        <f aca="false">INDEX(Perf_Batch_Prod!$S$101:$AG$101,3*(Training!F$6-1)+Training!F82)</f>
        <v>10.7686449124693</v>
      </c>
      <c r="W84" s="96" t="n">
        <f aca="false">INDEX(Perf_Batch_Prod!$S$101:$AG$101,3*(Training!G$6-1)+Training!G82)</f>
        <v>43.841623515136</v>
      </c>
      <c r="X84" s="96" t="n">
        <f aca="false">INDEX(Perf_Batch_Prod!$S$101:$AG$101,3*(Training!H$6-1)+Training!H82)</f>
        <v>133.4217728</v>
      </c>
      <c r="Y84" s="96" t="n">
        <f aca="false">INDEX(Perf_Batch_Prod!$S$101:$AG$101,3*(Training!I$6-1)+Training!I82)</f>
        <v>7.17909660831289</v>
      </c>
      <c r="Z84" s="96" t="n">
        <f aca="false">INDEX(Perf_Batch_Prod!$S$101:$AG$101,3*(Training!J$6-1)+Training!J82)</f>
        <v>29.2277490100907</v>
      </c>
      <c r="AA84" s="96" t="n">
        <f aca="false">INDEX(Perf_Batch_Prod!$S$101:$AG$101,3*(Training!K$6-1)+Training!K82)</f>
        <v>88.9478485333333</v>
      </c>
      <c r="AB84" s="96" t="n">
        <f aca="false">INDEX(Perf_Batch_Prod!$S$101:$AG$101,3*(Training!L$6-1)+Training!L82)</f>
        <v>3.07675568927695</v>
      </c>
      <c r="AC84" s="96" t="n">
        <f aca="false">INDEX(Perf_Batch_Prod!$S$101:$AG$101,3*(Training!M$6-1)+Training!M82)</f>
        <v>12.5261781471817</v>
      </c>
      <c r="AD84" s="96" t="n">
        <f aca="false">INDEX(Perf_Batch_Prod!$S$101:$AG$101,3*(Training!N$6-1)+Training!N82)</f>
        <v>38.1205065142857</v>
      </c>
      <c r="AE84" s="96" t="n">
        <f aca="false">INDEX(Perf_Batch_Prod!$S$101:$AG$101,3*(Training!O$6-1)+Training!O82)</f>
        <v>1.53837784463848</v>
      </c>
      <c r="AF84" s="96" t="n">
        <f aca="false">INDEX(Perf_Batch_Prod!$S$101:$AG$101,3*(Training!P$6-1)+Training!P82)</f>
        <v>6.26308907359086</v>
      </c>
      <c r="AG84" s="96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1054</v>
      </c>
      <c r="B86" s="56" t="s">
        <v>1010</v>
      </c>
      <c r="C86" s="60" t="n">
        <f aca="false">IF(AND(ISNUMBER(Training_Prod!C59)),Training!C81*1000000*Training_Prod!C59/3600/Training!C64,"SLO 不可達")</f>
        <v>50698.5322948249</v>
      </c>
      <c r="D86" s="60" t="n">
        <f aca="false">IF(AND(ISNUMBER(Training_Prod!D59)),Training!D81*1000000*Training_Prod!D59/3600/Training!D64,"SLO 不可達")</f>
        <v>196998.191033248</v>
      </c>
      <c r="E86" s="60" t="n">
        <f aca="false">IF(AND(ISNUMBER(Training_Prod!E59)),Training!E81*1000000*Training_Prod!E59/3600/Training!E64,"SLO 不可達")</f>
        <v>886708.888171475</v>
      </c>
      <c r="F86" s="60" t="n">
        <f aca="false">IF(AND(ISNUMBER(Training_Prod!F59)),Training!F81*1000000*Training_Prod!F59/3600/Training!F64,"SLO 不可達")</f>
        <v>14277.2582172041</v>
      </c>
      <c r="G86" s="60" t="n">
        <f aca="false">IF(AND(ISNUMBER(Training_Prod!G59)),Training!G81*1000000*Training_Prod!G59/3600/Training!G64,"SLO 不可達")</f>
        <v>52843.2477010436</v>
      </c>
      <c r="H86" s="60" t="n">
        <f aca="false">IF(AND(ISNUMBER(Training_Prod!H59)),Training!H81*1000000*Training_Prod!H59/3600/Training!H64,"SLO 不可達")</f>
        <v>233744.218620225</v>
      </c>
      <c r="I86" s="60" t="n">
        <f aca="false">IF(AND(ISNUMBER(Training_Prod!I59)),Training!I81*1000000*Training_Prod!I59/3600/Training!I64,"SLO 不可達")</f>
        <v>9518.17214480276</v>
      </c>
      <c r="J86" s="60" t="n">
        <f aca="false">IF(AND(ISNUMBER(Training_Prod!J59)),Training!J81*1000000*Training_Prod!J59/3600/Training!J64,"SLO 不可達")</f>
        <v>35228.8318006957</v>
      </c>
      <c r="K86" s="60" t="n">
        <f aca="false">IF(AND(ISNUMBER(Training_Prod!K59)),Training!K81*1000000*Training_Prod!K59/3600/Training!K64,"SLO 不可達")</f>
        <v>161869.497195913</v>
      </c>
      <c r="L86" s="60" t="n">
        <f aca="false">IF(AND(ISNUMBER(Training_Prod!L59)),Training!L81*1000000*Training_Prod!L59/3600/Training!L64,"SLO 不可達")</f>
        <v>5400.98333345917</v>
      </c>
      <c r="M86" s="60" t="n">
        <f aca="false">IF(AND(ISNUMBER(Training_Prod!M59)),Training!M81*1000000*Training_Prod!M59/3600/Training!M64,"SLO 不可達")</f>
        <v>19445.8393043702</v>
      </c>
      <c r="N86" s="60" t="n">
        <f aca="false">IF(AND(ISNUMBER(Training_Prod!N59)),Training!N81*1000000*Training_Prod!N59/3600/Training!N64,"SLO 不可達")</f>
        <v>83924.6844011622</v>
      </c>
      <c r="O86" s="60" t="n">
        <f aca="false">IF(AND(ISNUMBER(Training_Prod!O59)),Training!O81*1000000*Training_Prod!O59/3600/Training!O64,"SLO 不可達")</f>
        <v>2021.53161103449</v>
      </c>
      <c r="P86" s="60" t="n">
        <f aca="false">IF(AND(ISNUMBER(Training_Prod!P59)),Training!P81*1000000*Training_Prod!P59/3600/Training!P64,"SLO 不可達")</f>
        <v>7220.4313729396</v>
      </c>
      <c r="Q86" s="60" t="n">
        <f aca="false">IF(AND(ISNUMBER(Training_Prod!Q59)),Training!Q81*1000000*Training_Prod!Q59/3600/Training!Q64,"SLO 不可達")</f>
        <v>30637.91263142</v>
      </c>
      <c r="S86" s="60" t="n">
        <f aca="false">IF(AND(ISNUMBER(Training_Prod!S59)),Training!C81*1000000*Training_Prod!S59/3600/Training!C64,"SLO 不可達")</f>
        <v>42342.6977526788</v>
      </c>
      <c r="T86" s="60" t="n">
        <f aca="false">IF(AND(ISNUMBER(Training_Prod!T59)),Training!D81*1000000*Training_Prod!T59/3600/Training!D64,"SLO 不可達")</f>
        <v>162911.458381488</v>
      </c>
      <c r="U86" s="60" t="n">
        <f aca="false">IF(AND(ISNUMBER(Training_Prod!U59)),Training!E81*1000000*Training_Prod!U59/3600/Training!E64,"SLO 不可達")</f>
        <v>716709.809106729</v>
      </c>
      <c r="V86" s="60" t="n">
        <f aca="false">IF(AND(ISNUMBER(Training_Prod!V59)),Training!F81*1000000*Training_Prod!V59/3600/Training!F64,"SLO 不可達")</f>
        <v>12001.0421895401</v>
      </c>
      <c r="W86" s="60" t="n">
        <f aca="false">IF(AND(ISNUMBER(Training_Prod!W59)),Training!G81*1000000*Training_Prod!W59/3600/Training!G64,"SLO 不可達")</f>
        <v>44175.6224144917</v>
      </c>
      <c r="X86" s="60" t="n">
        <f aca="false">IF(AND(ISNUMBER(Training_Prod!X59)),Training!H81*1000000*Training_Prod!X59/3600/Training!H64,"SLO 不可達")</f>
        <v>192791.536112272</v>
      </c>
      <c r="Y86" s="60" t="n">
        <f aca="false">IF(AND(ISNUMBER(Training_Prod!Y59)),Training!I81*1000000*Training_Prod!Y59/3600/Training!I64,"SLO 不可達")</f>
        <v>8000.69479302675</v>
      </c>
      <c r="Z86" s="60" t="n">
        <f aca="false">IF(AND(ISNUMBER(Training_Prod!Z59)),Training!J81*1000000*Training_Prod!Z59/3600/Training!J64,"SLO 不可達")</f>
        <v>29450.4149429944</v>
      </c>
      <c r="AA86" s="60" t="n">
        <f aca="false">IF(AND(ISNUMBER(Training_Prod!AA59)),Training!K81*1000000*Training_Prod!AA59/3600/Training!K64,"SLO 不可達")</f>
        <v>133356.217612649</v>
      </c>
      <c r="AB86" s="60" t="n">
        <f aca="false">IF(AND(ISNUMBER(Training_Prod!AB59)),Training!L81*1000000*Training_Prod!AB59/3600/Training!L64,"SLO 不可達")</f>
        <v>4540.25894459413</v>
      </c>
      <c r="AC86" s="60" t="n">
        <f aca="false">IF(AND(ISNUMBER(Training_Prod!AC59)),Training!M81*1000000*Training_Prod!AC59/3600/Training!M64,"SLO 不可達")</f>
        <v>16265.3626052943</v>
      </c>
      <c r="AD86" s="60" t="n">
        <f aca="false">IF(AND(ISNUMBER(Training_Prod!AD59)),Training!N81*1000000*Training_Prod!AD59/3600/Training!N64,"SLO 不可達")</f>
        <v>69339.0610047075</v>
      </c>
      <c r="AE86" s="60" t="n">
        <f aca="false">IF(AND(ISNUMBER(Training_Prod!AE59)),Training!O81*1000000*Training_Prod!AE59/3600/Training!O64,"SLO 不可達")</f>
        <v>1699.40693850807</v>
      </c>
      <c r="AF86" s="60" t="n">
        <f aca="false">IF(AND(ISNUMBER(Training_Prod!AF59)),Training!P81*1000000*Training_Prod!AF59/3600/Training!P64,"SLO 不可達")</f>
        <v>6040.43704331619</v>
      </c>
      <c r="AG86" s="60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58" t="s">
        <v>1055</v>
      </c>
      <c r="B87" s="56" t="s">
        <v>1010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1058</v>
      </c>
      <c r="B90" s="56" t="s">
        <v>1010</v>
      </c>
      <c r="C90" s="60" t="n">
        <f aca="false">IF(AND(ISNUMBER(Training_Prod!C86)),Training_Prod!C86+Training_Prod!C87+Training!C89,"SLO 不可達")</f>
        <v>97561.9399912157</v>
      </c>
      <c r="D90" s="60" t="n">
        <f aca="false">IF(AND(ISNUMBER(Training_Prod!D86)),Training_Prod!D86+Training_Prod!D87+Training!D89,"SLO 不可達")</f>
        <v>364961.630759048</v>
      </c>
      <c r="E90" s="60" t="n">
        <f aca="false">IF(AND(ISNUMBER(Training_Prod!E86)),Training_Prod!E86+Training_Prod!E87+Training!E89,"SLO 不可達")</f>
        <v>1468874.86075413</v>
      </c>
      <c r="F90" s="60" t="n">
        <f aca="false">IF(AND(ISNUMBER(Training_Prod!F86)),Training_Prod!F86+Training_Prod!F87+Training!F89,"SLO 不可達")</f>
        <v>29656.4114959437</v>
      </c>
      <c r="G90" s="60" t="n">
        <f aca="false">IF(AND(ISNUMBER(Training_Prod!G86)),Training_Prod!G86+Training_Prod!G87+Training!G89,"SLO 不可達")</f>
        <v>106419.88998414</v>
      </c>
      <c r="H90" s="60" t="n">
        <f aca="false">IF(AND(ISNUMBER(Training_Prod!H86)),Training_Prod!H86+Training_Prod!H87+Training!H89,"SLO 不可達")</f>
        <v>424897.360581009</v>
      </c>
      <c r="I90" s="60" t="n">
        <f aca="false">IF(AND(ISNUMBER(Training_Prod!I86)),Training_Prod!I86+Training_Prod!I87+Training!I89,"SLO 不可達")</f>
        <v>24545.4089231348</v>
      </c>
      <c r="J90" s="60" t="n">
        <f aca="false">IF(AND(ISNUMBER(Training_Prod!J86)),Training_Prod!J86+Training_Prod!J87+Training!J89,"SLO 不可達")</f>
        <v>87372.7412891795</v>
      </c>
      <c r="K90" s="60" t="n">
        <f aca="false">IF(AND(ISNUMBER(Training_Prod!K86)),Training_Prod!K86+Training_Prod!K87+Training!K89,"SLO 不可達")</f>
        <v>348662.450503103</v>
      </c>
      <c r="L90" s="60" t="n">
        <f aca="false">IF(AND(ISNUMBER(Training_Prod!L86)),Training_Prod!L86+Training_Prod!L87+Training!L89,"SLO 不可達")</f>
        <v>10249.738358417</v>
      </c>
      <c r="M90" s="60" t="n">
        <f aca="false">IF(AND(ISNUMBER(Training_Prod!M86)),Training_Prod!M86+Training_Prod!M87+Training!M89,"SLO 不可達")</f>
        <v>36317.8464296758</v>
      </c>
      <c r="N90" s="60" t="n">
        <f aca="false">IF(AND(ISNUMBER(Training_Prod!N86)),Training_Prod!N86+Training_Prod!N87+Training!N89,"SLO 不可達")</f>
        <v>144192.965469323</v>
      </c>
      <c r="O90" s="60" t="n">
        <f aca="false">IF(AND(ISNUMBER(Training_Prod!O86)),Training_Prod!O86+Training_Prod!O87+Training!O89,"SLO 不可達")</f>
        <v>4445.90912351342</v>
      </c>
      <c r="P90" s="60" t="n">
        <f aca="false">IF(AND(ISNUMBER(Training_Prod!P86)),Training_Prod!P86+Training_Prod!P87+Training!P89,"SLO 不可達")</f>
        <v>15656.4349355924</v>
      </c>
      <c r="Q90" s="60" t="n">
        <f aca="false">IF(AND(ISNUMBER(Training_Prod!Q86)),Training_Prod!Q86+Training_Prod!Q87+Training!Q89,"SLO 不可達")</f>
        <v>60772.0531655003</v>
      </c>
      <c r="S90" s="60" t="n">
        <f aca="false">IF(AND(ISNUMBER(Training_Prod!S86)),Training_Prod!S86+Training_Prod!S87+Training!C89,"SLO 不可達")</f>
        <v>87604.8675806837</v>
      </c>
      <c r="T90" s="60" t="n">
        <f aca="false">IF(AND(ISNUMBER(Training_Prod!T86)),Training_Prod!T86+Training_Prod!T87+Training!D89,"SLO 不可達")</f>
        <v>324355.891458395</v>
      </c>
      <c r="U90" s="60" t="n">
        <f aca="false">IF(AND(ISNUMBER(Training_Prod!U86)),Training_Prod!U86+Training_Prod!U87+Training!E89,"SLO 不可達")</f>
        <v>1279036.70288132</v>
      </c>
      <c r="V90" s="60" t="n">
        <f aca="false">IF(AND(ISNUMBER(Training_Prod!V86)),Training_Prod!V86+Training_Prod!V87+Training!F89,"SLO 不可達")</f>
        <v>27221.8330430963</v>
      </c>
      <c r="W90" s="60" t="n">
        <f aca="false">IF(AND(ISNUMBER(Training_Prod!W86)),Training_Prod!W86+Training_Prod!W87+Training!G89,"SLO 不可達")</f>
        <v>97107.5349400122</v>
      </c>
      <c r="X90" s="60" t="n">
        <f aca="false">IF(AND(ISNUMBER(Training_Prod!X86)),Training_Prod!X86+Training_Prod!X87+Training!H89,"SLO 不可達")</f>
        <v>381982.593178939</v>
      </c>
      <c r="Y90" s="60" t="n">
        <f aca="false">IF(AND(ISNUMBER(Training_Prod!Y86)),Training_Prod!Y86+Training_Prod!Y87+Training!I89,"SLO 不可達")</f>
        <v>22922.3566212365</v>
      </c>
      <c r="Z90" s="60" t="n">
        <f aca="false">IF(AND(ISNUMBER(Training_Prod!Z86)),Training_Prod!Z86+Training_Prod!Z87+Training!J89,"SLO 不可達")</f>
        <v>81164.5045930946</v>
      </c>
      <c r="AA90" s="60" t="n">
        <f aca="false">IF(AND(ISNUMBER(Training_Prod!AA86)),Training_Prod!AA86+Training_Prod!AA87+Training!K89,"SLO 不可達")</f>
        <v>318841.11432376</v>
      </c>
      <c r="AB90" s="60" t="n">
        <f aca="false">IF(AND(ISNUMBER(Training_Prod!AB86)),Training_Prod!AB86+Training_Prod!AB87+Training!L89,"SLO 不可達")</f>
        <v>9343.76756235674</v>
      </c>
      <c r="AC90" s="60" t="n">
        <f aca="false">IF(AND(ISNUMBER(Training_Prod!AC86)),Training_Prod!AC86+Training_Prod!AC87+Training!M89,"SLO 不可達")</f>
        <v>32953.1612284354</v>
      </c>
      <c r="AD90" s="60" t="n">
        <f aca="false">IF(AND(ISNUMBER(Training_Prod!AD86)),Training_Prod!AD86+Training_Prod!AD87+Training!N89,"SLO 不可達")</f>
        <v>129046.746388834</v>
      </c>
      <c r="AE90" s="60" t="n">
        <f aca="false">IF(AND(ISNUMBER(Training_Prod!AE86)),Training_Prod!AE86+Training_Prod!AE87+Training!O89,"SLO 不可達")</f>
        <v>4101.16124738937</v>
      </c>
      <c r="AF90" s="60" t="n">
        <f aca="false">IF(AND(ISNUMBER(Training_Prod!AF86)),Training_Prod!AF86+Training_Prod!AF87+Training!P89,"SLO 不可達")</f>
        <v>14384.3363548867</v>
      </c>
      <c r="AG90" s="60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58" t="s">
        <v>1063</v>
      </c>
      <c r="B95" s="56" t="s">
        <v>791</v>
      </c>
      <c r="C95" s="96" t="n">
        <f aca="false">INDEX(Perf_Batch_Prod!$C$103:$Q$103,3*(Training!C$6-1)+Training!C94)</f>
        <v>13566.6459890236</v>
      </c>
      <c r="D95" s="96" t="n">
        <f aca="false">INDEX(Perf_Batch_Prod!$C$103:$Q$103,3*(Training!D$6-1)+Training!D94)</f>
        <v>13566.6459890236</v>
      </c>
      <c r="E95" s="96" t="n">
        <f aca="false">INDEX(Perf_Batch_Prod!$C$103:$Q$103,3*(Training!E$6-1)+Training!E94)</f>
        <v>13566.6459890236</v>
      </c>
      <c r="F95" s="96" t="n">
        <f aca="false">INDEX(Perf_Batch_Prod!$C$103:$Q$103,3*(Training!F$6-1)+Training!F94)</f>
        <v>3576.28654488944</v>
      </c>
      <c r="G95" s="96" t="n">
        <f aca="false">INDEX(Perf_Batch_Prod!$C$103:$Q$103,3*(Training!G$6-1)+Training!G94)</f>
        <v>3576.28654488944</v>
      </c>
      <c r="H95" s="96" t="n">
        <f aca="false">INDEX(Perf_Batch_Prod!$C$103:$Q$103,3*(Training!H$6-1)+Training!H94)</f>
        <v>3576.28654488944</v>
      </c>
      <c r="I95" s="96" t="n">
        <f aca="false">INDEX(Perf_Batch_Prod!$C$103:$Q$103,3*(Training!I$6-1)+Training!I94)</f>
        <v>2476.60330709747</v>
      </c>
      <c r="J95" s="96" t="n">
        <f aca="false">INDEX(Perf_Batch_Prod!$C$103:$Q$103,3*(Training!J$6-1)+Training!J94)</f>
        <v>2476.60330709747</v>
      </c>
      <c r="K95" s="96" t="n">
        <f aca="false">INDEX(Perf_Batch_Prod!$C$103:$Q$103,3*(Training!K$6-1)+Training!K94)</f>
        <v>2476.60330709747</v>
      </c>
      <c r="L95" s="96" t="n">
        <f aca="false">INDEX(Perf_Batch_Prod!$C$103:$Q$103,3*(Training!L$6-1)+Training!L94)</f>
        <v>1284.04767133778</v>
      </c>
      <c r="M95" s="96" t="n">
        <f aca="false">INDEX(Perf_Batch_Prod!$C$103:$Q$103,3*(Training!M$6-1)+Training!M94)</f>
        <v>1284.04767133778</v>
      </c>
      <c r="N95" s="96" t="n">
        <f aca="false">INDEX(Perf_Batch_Prod!$C$103:$Q$103,3*(Training!N$6-1)+Training!N94)</f>
        <v>1284.04767133778</v>
      </c>
      <c r="O95" s="96" t="n">
        <f aca="false">INDEX(Perf_Batch_Prod!$C$103:$Q$103,3*(Training!O$6-1)+Training!O94)</f>
        <v>468.760063260726</v>
      </c>
      <c r="P95" s="96" t="n">
        <f aca="false">INDEX(Perf_Batch_Prod!$C$103:$Q$103,3*(Training!P$6-1)+Training!P94)</f>
        <v>468.760063260726</v>
      </c>
      <c r="Q95" s="96" t="n">
        <f aca="false">INDEX(Perf_Batch_Prod!$C$103:$Q$103,3*(Training!Q$6-1)+Training!Q94)</f>
        <v>468.760063260726</v>
      </c>
      <c r="S95" s="96" t="n">
        <f aca="false">INDEX(Perf_Batch_Prod!$S$103:$AG$103,3*(Training!C$6-1)+Training!C94)</f>
        <v>10965.660079333</v>
      </c>
      <c r="T95" s="96" t="n">
        <f aca="false">INDEX(Perf_Batch_Prod!$S$103:$AG$103,3*(Training!D$6-1)+Training!D94)</f>
        <v>10965.660079333</v>
      </c>
      <c r="U95" s="96" t="n">
        <f aca="false">INDEX(Perf_Batch_Prod!$S$103:$AG$103,3*(Training!E$6-1)+Training!E94)</f>
        <v>10965.660079333</v>
      </c>
      <c r="V95" s="96" t="n">
        <f aca="false">INDEX(Perf_Batch_Prod!$S$103:$AG$103,3*(Training!F$6-1)+Training!F94)</f>
        <v>2949.71050251776</v>
      </c>
      <c r="W95" s="96" t="n">
        <f aca="false">INDEX(Perf_Batch_Prod!$S$103:$AG$103,3*(Training!G$6-1)+Training!G94)</f>
        <v>2949.71050251776</v>
      </c>
      <c r="X95" s="96" t="n">
        <f aca="false">INDEX(Perf_Batch_Prod!$S$103:$AG$103,3*(Training!H$6-1)+Training!H94)</f>
        <v>2949.71050251776</v>
      </c>
      <c r="Y95" s="96" t="n">
        <f aca="false">INDEX(Perf_Batch_Prod!$S$103:$AG$103,3*(Training!I$6-1)+Training!I94)</f>
        <v>2040.35012947353</v>
      </c>
      <c r="Z95" s="96" t="n">
        <f aca="false">INDEX(Perf_Batch_Prod!$S$103:$AG$103,3*(Training!J$6-1)+Training!J94)</f>
        <v>2040.35012947353</v>
      </c>
      <c r="AA95" s="96" t="n">
        <f aca="false">INDEX(Perf_Batch_Prod!$S$103:$AG$103,3*(Training!K$6-1)+Training!K94)</f>
        <v>2040.35012947353</v>
      </c>
      <c r="AB95" s="96" t="n">
        <f aca="false">INDEX(Perf_Batch_Prod!$S$103:$AG$103,3*(Training!L$6-1)+Training!L94)</f>
        <v>1060.88763337202</v>
      </c>
      <c r="AC95" s="96" t="n">
        <f aca="false">INDEX(Perf_Batch_Prod!$S$103:$AG$103,3*(Training!M$6-1)+Training!M94)</f>
        <v>1060.88763337202</v>
      </c>
      <c r="AD95" s="96" t="n">
        <f aca="false">INDEX(Perf_Batch_Prod!$S$103:$AG$103,3*(Training!N$6-1)+Training!N94)</f>
        <v>1060.88763337202</v>
      </c>
      <c r="AE95" s="96" t="n">
        <f aca="false">INDEX(Perf_Batch_Prod!$S$103:$AG$103,3*(Training!O$6-1)+Training!O94)</f>
        <v>387.579742794027</v>
      </c>
      <c r="AF95" s="96" t="n">
        <f aca="false">INDEX(Perf_Batch_Prod!$S$103:$AG$103,3*(Training!P$6-1)+Training!P94)</f>
        <v>387.579742794027</v>
      </c>
      <c r="AG95" s="96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1065</v>
      </c>
      <c r="B97" s="56" t="s">
        <v>1010</v>
      </c>
      <c r="C97" s="60" t="n">
        <f aca="false">IF(AND(ISNUMBER(Training_Prod!C95)),Training!C93*1000000*Training_Prod!C95/3600,"SLO 不可達")</f>
        <v>3768512.77472877</v>
      </c>
      <c r="D97" s="60" t="n">
        <f aca="false">IF(AND(ISNUMBER(Training_Prod!D95)),Training!D93*1000000*Training_Prod!D95/3600,"SLO 不可達")</f>
        <v>7537025.54945754</v>
      </c>
      <c r="E97" s="60" t="n">
        <f aca="false">IF(AND(ISNUMBER(Training_Prod!E95)),Training!E93*1000000*Training_Prod!E95/3600,"SLO 不可達")</f>
        <v>11305538.3241863</v>
      </c>
      <c r="F97" s="60" t="n">
        <f aca="false">IF(AND(ISNUMBER(Training_Prod!F95)),Training!F93*1000000*Training_Prod!F95/3600,"SLO 不可達")</f>
        <v>993412.929135956</v>
      </c>
      <c r="G97" s="60" t="n">
        <f aca="false">IF(AND(ISNUMBER(Training_Prod!G95)),Training!G93*1000000*Training_Prod!G95/3600,"SLO 不可達")</f>
        <v>1986825.85827191</v>
      </c>
      <c r="H97" s="60" t="n">
        <f aca="false">IF(AND(ISNUMBER(Training_Prod!H95)),Training!H93*1000000*Training_Prod!H95/3600,"SLO 不可達")</f>
        <v>2980238.78740787</v>
      </c>
      <c r="I97" s="60" t="n">
        <f aca="false">IF(AND(ISNUMBER(Training_Prod!I95)),Training!I93*1000000*Training_Prod!I95/3600,"SLO 不可達")</f>
        <v>687945.363082631</v>
      </c>
      <c r="J97" s="60" t="n">
        <f aca="false">IF(AND(ISNUMBER(Training_Prod!J95)),Training!J93*1000000*Training_Prod!J95/3600,"SLO 不可達")</f>
        <v>1375890.72616526</v>
      </c>
      <c r="K97" s="60" t="n">
        <f aca="false">IF(AND(ISNUMBER(Training_Prod!K95)),Training!K93*1000000*Training_Prod!K95/3600,"SLO 不可達")</f>
        <v>2063836.08924789</v>
      </c>
      <c r="L97" s="60" t="n">
        <f aca="false">IF(AND(ISNUMBER(Training_Prod!L95)),Training!L93*1000000*Training_Prod!L95/3600,"SLO 不可達")</f>
        <v>356679.90870494</v>
      </c>
      <c r="M97" s="60" t="n">
        <f aca="false">IF(AND(ISNUMBER(Training_Prod!M95)),Training!M93*1000000*Training_Prod!M95/3600,"SLO 不可達")</f>
        <v>713359.817409879</v>
      </c>
      <c r="N97" s="60" t="n">
        <f aca="false">IF(AND(ISNUMBER(Training_Prod!N95)),Training!N93*1000000*Training_Prod!N95/3600,"SLO 不可達")</f>
        <v>1070039.72611482</v>
      </c>
      <c r="O97" s="60" t="n">
        <f aca="false">IF(AND(ISNUMBER(Training_Prod!O95)),Training!O93*1000000*Training_Prod!O95/3600,"SLO 不可達")</f>
        <v>130211.128683535</v>
      </c>
      <c r="P97" s="60" t="n">
        <f aca="false">IF(AND(ISNUMBER(Training_Prod!P95)),Training!P93*1000000*Training_Prod!P95/3600,"SLO 不可達")</f>
        <v>260422.25736707</v>
      </c>
      <c r="Q97" s="60" t="n">
        <f aca="false">IF(AND(ISNUMBER(Training_Prod!Q95)),Training!Q93*1000000*Training_Prod!Q95/3600,"SLO 不可達")</f>
        <v>390633.386050605</v>
      </c>
      <c r="S97" s="60" t="n">
        <f aca="false">IF(AND(ISNUMBER(Training_Prod!S95)),Training!C93*1000000*Training_Prod!S95/3600,"SLO 不可達")</f>
        <v>3046016.6887036</v>
      </c>
      <c r="T97" s="60" t="n">
        <f aca="false">IF(AND(ISNUMBER(Training_Prod!T95)),Training!D93*1000000*Training_Prod!T95/3600,"SLO 不可達")</f>
        <v>6092033.3774072</v>
      </c>
      <c r="U97" s="60" t="n">
        <f aca="false">IF(AND(ISNUMBER(Training_Prod!U95)),Training!E93*1000000*Training_Prod!U95/3600,"SLO 不可達")</f>
        <v>9138050.06611079</v>
      </c>
      <c r="V97" s="60" t="n">
        <f aca="false">IF(AND(ISNUMBER(Training_Prod!V95)),Training!F93*1000000*Training_Prod!V95/3600,"SLO 不可達")</f>
        <v>819364.028477156</v>
      </c>
      <c r="W97" s="60" t="n">
        <f aca="false">IF(AND(ISNUMBER(Training_Prod!W95)),Training!G93*1000000*Training_Prod!W95/3600,"SLO 不可達")</f>
        <v>1638728.05695431</v>
      </c>
      <c r="X97" s="60" t="n">
        <f aca="false">IF(AND(ISNUMBER(Training_Prod!X95)),Training!H93*1000000*Training_Prod!X95/3600,"SLO 不可達")</f>
        <v>2458092.08543147</v>
      </c>
      <c r="Y97" s="60" t="n">
        <f aca="false">IF(AND(ISNUMBER(Training_Prod!Y95)),Training!I93*1000000*Training_Prod!Y95/3600,"SLO 不可達")</f>
        <v>566763.924853758</v>
      </c>
      <c r="Z97" s="60" t="n">
        <f aca="false">IF(AND(ISNUMBER(Training_Prod!Z95)),Training!J93*1000000*Training_Prod!Z95/3600,"SLO 不可達")</f>
        <v>1133527.84970752</v>
      </c>
      <c r="AA97" s="60" t="n">
        <f aca="false">IF(AND(ISNUMBER(Training_Prod!AA95)),Training!K93*1000000*Training_Prod!AA95/3600,"SLO 不可達")</f>
        <v>1700291.77456127</v>
      </c>
      <c r="AB97" s="60" t="n">
        <f aca="false">IF(AND(ISNUMBER(Training_Prod!AB95)),Training!L93*1000000*Training_Prod!AB95/3600,"SLO 不可達")</f>
        <v>294691.009270007</v>
      </c>
      <c r="AC97" s="60" t="n">
        <f aca="false">IF(AND(ISNUMBER(Training_Prod!AC95)),Training!M93*1000000*Training_Prod!AC95/3600,"SLO 不可達")</f>
        <v>589382.018540014</v>
      </c>
      <c r="AD97" s="60" t="n">
        <f aca="false">IF(AND(ISNUMBER(Training_Prod!AD95)),Training!N93*1000000*Training_Prod!AD95/3600,"SLO 不可達")</f>
        <v>884073.027810021</v>
      </c>
      <c r="AE97" s="60" t="n">
        <f aca="false">IF(AND(ISNUMBER(Training_Prod!AE95)),Training!O93*1000000*Training_Prod!AE95/3600,"SLO 不可達")</f>
        <v>107661.039665007</v>
      </c>
      <c r="AF97" s="60" t="n">
        <f aca="false">IF(AND(ISNUMBER(Training_Prod!AF95)),Training!P93*1000000*Training_Prod!AF95/3600,"SLO 不可達")</f>
        <v>215322.079330015</v>
      </c>
      <c r="AG97" s="60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58" t="s">
        <v>1067</v>
      </c>
      <c r="B100" s="56" t="s">
        <v>1010</v>
      </c>
      <c r="C100" s="60" t="n">
        <f aca="false">IF(AND(ISNUMBER(Training_Prod!C59)),Training!C99*1000000*Training_Prod!C59/3600,"SLO 不可達")</f>
        <v>4309.37524506012</v>
      </c>
      <c r="D100" s="60" t="n">
        <f aca="false">IF(AND(ISNUMBER(Training_Prod!D59)),Training!D99*1000000*Training_Prod!D59/3600,"SLO 不可達")</f>
        <v>41862.1155945652</v>
      </c>
      <c r="E100" s="60" t="n">
        <f aca="false">IF(AND(ISNUMBER(Training_Prod!E59)),Training!E99*1000000*Training_Prod!E59/3600,"SLO 不可達")</f>
        <v>376851.277472877</v>
      </c>
      <c r="F100" s="60" t="n">
        <f aca="false">IF(AND(ISNUMBER(Training_Prod!F59)),Training!F99*1000000*Training_Prod!F59/3600,"SLO 不可達")</f>
        <v>1213.56694846235</v>
      </c>
      <c r="G100" s="60" t="n">
        <f aca="false">IF(AND(ISNUMBER(Training_Prod!G59)),Training!G99*1000000*Training_Prod!G59/3600,"SLO 不可達")</f>
        <v>11229.1901364718</v>
      </c>
      <c r="H100" s="60" t="n">
        <f aca="false">IF(AND(ISNUMBER(Training_Prod!H59)),Training!H99*1000000*Training_Prod!H59/3600,"SLO 不可達")</f>
        <v>99341.2929135956</v>
      </c>
      <c r="I100" s="60" t="n">
        <f aca="false">IF(AND(ISNUMBER(Training_Prod!I59)),Training!I99*1000000*Training_Prod!I59/3600,"SLO 不可達")</f>
        <v>809.044632308235</v>
      </c>
      <c r="J100" s="60" t="n">
        <f aca="false">IF(AND(ISNUMBER(Training_Prod!J59)),Training!J99*1000000*Training_Prod!J59/3600,"SLO 不可達")</f>
        <v>7486.12675764784</v>
      </c>
      <c r="K100" s="60" t="n">
        <f aca="false">IF(AND(ISNUMBER(Training_Prod!K59)),Training!K99*1000000*Training_Prod!K59/3600,"SLO 不可達")</f>
        <v>68794.5363082631</v>
      </c>
      <c r="L100" s="60" t="n">
        <f aca="false">IF(AND(ISNUMBER(Training_Prod!L59)),Training!L99*1000000*Training_Prod!L59/3600,"SLO 不可達")</f>
        <v>459.08358334403</v>
      </c>
      <c r="M100" s="60" t="n">
        <f aca="false">IF(AND(ISNUMBER(Training_Prod!M59)),Training!M99*1000000*Training_Prod!M59/3600,"SLO 不可達")</f>
        <v>4132.24085217867</v>
      </c>
      <c r="N100" s="60" t="n">
        <f aca="false">IF(AND(ISNUMBER(Training_Prod!N59)),Training!N99*1000000*Training_Prod!N59/3600,"SLO 不可達")</f>
        <v>35667.9908704939</v>
      </c>
      <c r="O100" s="60" t="n">
        <f aca="false">IF(AND(ISNUMBER(Training_Prod!O59)),Training!O99*1000000*Training_Prod!O59/3600,"SLO 不可達")</f>
        <v>171.830186937931</v>
      </c>
      <c r="P100" s="60" t="n">
        <f aca="false">IF(AND(ISNUMBER(Training_Prod!P59)),Training!P99*1000000*Training_Prod!P59/3600,"SLO 不可達")</f>
        <v>1534.34166674967</v>
      </c>
      <c r="Q100" s="60" t="n">
        <f aca="false">IF(AND(ISNUMBER(Training_Prod!Q59)),Training!Q99*1000000*Training_Prod!Q59/3600,"SLO 不可達")</f>
        <v>13021.1128683535</v>
      </c>
      <c r="S100" s="60" t="n">
        <f aca="false">IF(AND(ISNUMBER(Training_Prod!S59)),Training!C99*1000000*Training_Prod!S59/3600,"SLO 不可達")</f>
        <v>3599.1293089777</v>
      </c>
      <c r="T100" s="60" t="n">
        <f aca="false">IF(AND(ISNUMBER(Training_Prod!T59)),Training!D99*1000000*Training_Prod!T59/3600,"SLO 不可達")</f>
        <v>34618.6849060661</v>
      </c>
      <c r="U100" s="60" t="n">
        <f aca="false">IF(AND(ISNUMBER(Training_Prod!U59)),Training!E99*1000000*Training_Prod!U59/3600,"SLO 不可達")</f>
        <v>304601.66887036</v>
      </c>
      <c r="V100" s="60" t="n">
        <f aca="false">IF(AND(ISNUMBER(Training_Prod!V59)),Training!F99*1000000*Training_Prod!V59/3600,"SLO 不可達")</f>
        <v>1020.08858611091</v>
      </c>
      <c r="W100" s="60" t="n">
        <f aca="false">IF(AND(ISNUMBER(Training_Prod!W59)),Training!G99*1000000*Training_Prod!W59/3600,"SLO 不可達")</f>
        <v>9387.31976307948</v>
      </c>
      <c r="X100" s="60" t="n">
        <f aca="false">IF(AND(ISNUMBER(Training_Prod!X59)),Training!H99*1000000*Training_Prod!X59/3600,"SLO 不可達")</f>
        <v>81936.4028477156</v>
      </c>
      <c r="Y100" s="60" t="n">
        <f aca="false">IF(AND(ISNUMBER(Training_Prod!Y59)),Training!I99*1000000*Training_Prod!Y59/3600,"SLO 不可達")</f>
        <v>680.059057407274</v>
      </c>
      <c r="Z100" s="60" t="n">
        <f aca="false">IF(AND(ISNUMBER(Training_Prod!Z59)),Training!J99*1000000*Training_Prod!Z59/3600,"SLO 不可達")</f>
        <v>6258.21317538632</v>
      </c>
      <c r="AA100" s="60" t="n">
        <f aca="false">IF(AND(ISNUMBER(Training_Prod!AA59)),Training!K99*1000000*Training_Prod!AA59/3600,"SLO 不可達")</f>
        <v>56676.3924853758</v>
      </c>
      <c r="AB100" s="60" t="n">
        <f aca="false">IF(AND(ISNUMBER(Training_Prod!AB59)),Training!L99*1000000*Training_Prod!AB59/3600,"SLO 不可達")</f>
        <v>385.922010290501</v>
      </c>
      <c r="AC100" s="60" t="n">
        <f aca="false">IF(AND(ISNUMBER(Training_Prod!AC59)),Training!M99*1000000*Training_Prod!AC59/3600,"SLO 不可達")</f>
        <v>3456.38955362504</v>
      </c>
      <c r="AD100" s="60" t="n">
        <f aca="false">IF(AND(ISNUMBER(Training_Prod!AD59)),Training!N99*1000000*Training_Prod!AD59/3600,"SLO 不可達")</f>
        <v>29469.1009270007</v>
      </c>
      <c r="AE100" s="60" t="n">
        <f aca="false">IF(AND(ISNUMBER(Training_Prod!AE59)),Training!O99*1000000*Training_Prod!AE59/3600,"SLO 不可達")</f>
        <v>144.449589773186</v>
      </c>
      <c r="AF100" s="60" t="n">
        <f aca="false">IF(AND(ISNUMBER(Training_Prod!AF59)),Training!P99*1000000*Training_Prod!AF59/3600,"SLO 不可達")</f>
        <v>1283.59287170469</v>
      </c>
      <c r="AG100" s="60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58" t="s">
        <v>1071</v>
      </c>
      <c r="B104" s="56" t="s">
        <v>1010</v>
      </c>
      <c r="C104" s="60" t="n">
        <f aca="false">IF(AND(ISNUMBER(Training_Prod!C75),ISNUMBER(Training_Prod!C90)),Training!C51+Training_Prod!C75+Training_Prod!C90,"SLO 不可達")</f>
        <v>1130444.84878151</v>
      </c>
      <c r="D104" s="60" t="n">
        <f aca="false">IF(AND(ISNUMBER(Training_Prod!D75),ISNUMBER(Training_Prod!D90)),Training!D51+Training_Prod!D75+Training_Prod!D90,"SLO 不可達")</f>
        <v>4186782.19601678</v>
      </c>
      <c r="E104" s="60" t="n">
        <f aca="false">IF(AND(ISNUMBER(Training_Prod!E75),ISNUMBER(Training_Prod!E90)),Training!E51+Training_Prod!E75+Training_Prod!E90,"SLO 不可達")</f>
        <v>65875600.7759574</v>
      </c>
      <c r="F104" s="60" t="n">
        <f aca="false">IF(AND(ISNUMBER(Training_Prod!F75),ISNUMBER(Training_Prod!F90)),Training!F51+Training_Prod!F75+Training_Prod!F90,"SLO 不可達")</f>
        <v>369242.025166705</v>
      </c>
      <c r="G104" s="60" t="n">
        <f aca="false">IF(AND(ISNUMBER(Training_Prod!G75),ISNUMBER(Training_Prod!G90)),Training!G51+Training_Prod!G75+Training_Prod!G90,"SLO 不可達")</f>
        <v>1318846.72820486</v>
      </c>
      <c r="H104" s="60" t="n">
        <f aca="false">IF(AND(ISNUMBER(Training_Prod!H75),ISNUMBER(Training_Prod!H90)),Training!H51+Training_Prod!H75+Training_Prod!H90,"SLO 不可達")</f>
        <v>20244554.0070377</v>
      </c>
      <c r="I104" s="60" t="n">
        <f aca="false">IF(AND(ISNUMBER(Training_Prod!I75),ISNUMBER(Training_Prod!I90)),Training!I51+Training_Prod!I75+Training_Prod!I90,"SLO 不可達")</f>
        <v>307872.027167383</v>
      </c>
      <c r="J104" s="60" t="n">
        <f aca="false">IF(AND(ISNUMBER(Training_Prod!J75),ISNUMBER(Training_Prod!J90)),Training!J51+Training_Prod!J75+Training_Prod!J90,"SLO 不可達")</f>
        <v>1091535.10308735</v>
      </c>
      <c r="K104" s="60" t="n">
        <f aca="false">IF(AND(ISNUMBER(Training_Prod!K75),ISNUMBER(Training_Prod!K90)),Training!K51+Training_Prod!K75+Training_Prod!K90,"SLO 不可達")</f>
        <v>16713202.8348827</v>
      </c>
      <c r="L104" s="60" t="n">
        <f aca="false">IF(AND(ISNUMBER(Training_Prod!L75),ISNUMBER(Training_Prod!L90)),Training!L51+Training_Prod!L75+Training_Prod!L90,"SLO 不可達")</f>
        <v>128293.542574537</v>
      </c>
      <c r="M104" s="60" t="n">
        <f aca="false">IF(AND(ISNUMBER(Training_Prod!M75),ISNUMBER(Training_Prod!M90)),Training!M51+Training_Prod!M75+Training_Prod!M90,"SLO 不可達")</f>
        <v>452684.212033585</v>
      </c>
      <c r="N104" s="60" t="n">
        <f aca="false">IF(AND(ISNUMBER(Training_Prod!N75),ISNUMBER(Training_Prod!N90)),Training!N51+Training_Prod!N75+Training_Prod!N90,"SLO 不可達")</f>
        <v>6902227.10643078</v>
      </c>
      <c r="O104" s="60" t="n">
        <f aca="false">IF(AND(ISNUMBER(Training_Prod!O75),ISNUMBER(Training_Prod!O90)),Training!O51+Training_Prod!O75+Training_Prod!O90,"SLO 不可達")</f>
        <v>55456.0825743711</v>
      </c>
      <c r="P104" s="60" t="n">
        <f aca="false">IF(AND(ISNUMBER(Training_Prod!P75),ISNUMBER(Training_Prod!P90)),Training!P51+Training_Prod!P75+Training_Prod!P90,"SLO 不可達")</f>
        <v>194310.25604245</v>
      </c>
      <c r="Q104" s="60" t="n">
        <f aca="false">IF(AND(ISNUMBER(Training_Prod!Q75),ISNUMBER(Training_Prod!Q90)),Training!Q51+Training_Prod!Q75+Training_Prod!Q90,"SLO 不可達")</f>
        <v>2896216.5043265</v>
      </c>
      <c r="S104" s="60" t="n">
        <f aca="false">IF(AND(ISNUMBER(Training_Prod!S75),ISNUMBER(Training_Prod!S90)),Training!C51+Training_Prod!S75+Training_Prod!S90,"SLO 不可達")</f>
        <v>1021425.82566466</v>
      </c>
      <c r="T104" s="60" t="n">
        <f aca="false">IF(AND(ISNUMBER(Training_Prod!T75),ISNUMBER(Training_Prod!T90)),Training!D51+Training_Prod!T75+Training_Prod!T90,"SLO 不可達")</f>
        <v>3742067.61244357</v>
      </c>
      <c r="U104" s="60" t="n">
        <f aca="false">IF(AND(ISNUMBER(Training_Prod!U75),ISNUMBER(Training_Prod!U90)),Training!E51+Training_Prod!U75+Training_Prod!U90,"SLO 不可達")</f>
        <v>57502466.7302614</v>
      </c>
      <c r="V104" s="60" t="n">
        <f aca="false">IF(AND(ISNUMBER(Training_Prod!V75),ISNUMBER(Training_Prod!V90)),Training!F51+Training_Prod!V75+Training_Prod!V90,"SLO 不可達")</f>
        <v>339902.296689943</v>
      </c>
      <c r="W104" s="60" t="n">
        <f aca="false">IF(AND(ISNUMBER(Training_Prod!W75),ISNUMBER(Training_Prod!W90)),Training!G51+Training_Prod!W75+Training_Prod!W90,"SLO 不可達")</f>
        <v>1207069.92882012</v>
      </c>
      <c r="X104" s="60" t="n">
        <f aca="false">IF(AND(ISNUMBER(Training_Prod!X75),ISNUMBER(Training_Prod!X90)),Training!H51+Training_Prod!X75+Training_Prod!X90,"SLO 不可達")</f>
        <v>18233602.1440843</v>
      </c>
      <c r="Y104" s="60" t="n">
        <f aca="false">IF(AND(ISNUMBER(Training_Prod!Y75),ISNUMBER(Training_Prod!Y90)),Training!I51+Training_Prod!Y75+Training_Prod!Y90,"SLO 不可達")</f>
        <v>288312.208182875</v>
      </c>
      <c r="Z104" s="60" t="n">
        <f aca="false">IF(AND(ISNUMBER(Training_Prod!Z75),ISNUMBER(Training_Prod!Z90)),Training!J51+Training_Prod!Z75+Training_Prod!Z90,"SLO 不可達")</f>
        <v>1017017.23683086</v>
      </c>
      <c r="AA104" s="60" t="n">
        <f aca="false">IF(AND(ISNUMBER(Training_Prod!AA75),ISNUMBER(Training_Prod!AA90)),Training!K51+Training_Prod!AA75+Training_Prod!AA90,"SLO 不可達")</f>
        <v>15313205.1885937</v>
      </c>
      <c r="AB104" s="60" t="n">
        <f aca="false">IF(AND(ISNUMBER(Training_Prod!AB75),ISNUMBER(Training_Prod!AB90)),Training!L51+Training_Prod!AB75+Training_Prod!AB90,"SLO 不可達")</f>
        <v>117217.93801916</v>
      </c>
      <c r="AC104" s="60" t="n">
        <f aca="false">IF(AND(ISNUMBER(Training_Prod!AC75),ISNUMBER(Training_Prod!AC90)),Training!M51+Training_Prod!AC75+Training_Prod!AC90,"SLO 不可達")</f>
        <v>411736.625794877</v>
      </c>
      <c r="AD104" s="60" t="n">
        <f aca="false">IF(AND(ISNUMBER(Training_Prod!AD75),ISNUMBER(Training_Prod!AD90)),Training!N51+Training_Prod!AD75+Training_Prod!AD90,"SLO 不可達")</f>
        <v>6186311.43998631</v>
      </c>
      <c r="AE104" s="60" t="n">
        <f aca="false">IF(AND(ISNUMBER(Training_Prod!AE75),ISNUMBER(Training_Prod!AE90)),Training!O51+Training_Prod!AE75+Training_Prod!AE90,"SLO 不可達")</f>
        <v>51303.720577081</v>
      </c>
      <c r="AF104" s="60" t="n">
        <f aca="false">IF(AND(ISNUMBER(Training_Prod!AF75),ISNUMBER(Training_Prod!AF90)),Training!P51+Training_Prod!AF75+Training_Prod!AF90,"SLO 不可達")</f>
        <v>179087.586378002</v>
      </c>
      <c r="AG104" s="60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58" t="s">
        <v>1072</v>
      </c>
      <c r="B105" s="56" t="s">
        <v>1010</v>
      </c>
      <c r="C105" s="60" t="n">
        <f aca="false">IF(AND(ISNUMBER(Training_Prod!C97),ISNUMBER(Training_Prod!C100)),Training_Prod!C97+Training_Prod!C100,"SLO 不可達")</f>
        <v>3772822.14997383</v>
      </c>
      <c r="D105" s="60" t="n">
        <f aca="false">IF(AND(ISNUMBER(Training_Prod!D97),ISNUMBER(Training_Prod!D100)),Training_Prod!D97+Training_Prod!D100,"SLO 不可達")</f>
        <v>7578887.6650521</v>
      </c>
      <c r="E105" s="60" t="n">
        <f aca="false">IF(AND(ISNUMBER(Training_Prod!E97),ISNUMBER(Training_Prod!E100)),Training_Prod!E97+Training_Prod!E100,"SLO 不可達")</f>
        <v>11682389.6016592</v>
      </c>
      <c r="F105" s="60" t="n">
        <f aca="false">IF(AND(ISNUMBER(Training_Prod!F97),ISNUMBER(Training_Prod!F100)),Training_Prod!F97+Training_Prod!F100,"SLO 不可達")</f>
        <v>994626.496084419</v>
      </c>
      <c r="G105" s="60" t="n">
        <f aca="false">IF(AND(ISNUMBER(Training_Prod!G97),ISNUMBER(Training_Prod!G100)),Training_Prod!G97+Training_Prod!G100,"SLO 不可達")</f>
        <v>1998055.04840838</v>
      </c>
      <c r="H105" s="60" t="n">
        <f aca="false">IF(AND(ISNUMBER(Training_Prod!H97),ISNUMBER(Training_Prod!H100)),Training_Prod!H97+Training_Prod!H100,"SLO 不可達")</f>
        <v>3079580.08032146</v>
      </c>
      <c r="I105" s="60" t="n">
        <f aca="false">IF(AND(ISNUMBER(Training_Prod!I97),ISNUMBER(Training_Prod!I100)),Training_Prod!I97+Training_Prod!I100,"SLO 不可達")</f>
        <v>688754.407714939</v>
      </c>
      <c r="J105" s="60" t="n">
        <f aca="false">IF(AND(ISNUMBER(Training_Prod!J97),ISNUMBER(Training_Prod!J100)),Training_Prod!J97+Training_Prod!J100,"SLO 不可達")</f>
        <v>1383376.85292291</v>
      </c>
      <c r="K105" s="60" t="n">
        <f aca="false">IF(AND(ISNUMBER(Training_Prod!K97),ISNUMBER(Training_Prod!K100)),Training_Prod!K97+Training_Prod!K100,"SLO 不可達")</f>
        <v>2132630.62555616</v>
      </c>
      <c r="L105" s="60" t="n">
        <f aca="false">IF(AND(ISNUMBER(Training_Prod!L97),ISNUMBER(Training_Prod!L100)),Training_Prod!L97+Training_Prod!L100,"SLO 不可達")</f>
        <v>357138.992288284</v>
      </c>
      <c r="M105" s="60" t="n">
        <f aca="false">IF(AND(ISNUMBER(Training_Prod!M97),ISNUMBER(Training_Prod!M100)),Training_Prod!M97+Training_Prod!M100,"SLO 不可達")</f>
        <v>717492.058262058</v>
      </c>
      <c r="N105" s="60" t="n">
        <f aca="false">IF(AND(ISNUMBER(Training_Prod!N97),ISNUMBER(Training_Prod!N100)),Training_Prod!N97+Training_Prod!N100,"SLO 不可達")</f>
        <v>1105707.71698531</v>
      </c>
      <c r="O105" s="60" t="n">
        <f aca="false">IF(AND(ISNUMBER(Training_Prod!O97),ISNUMBER(Training_Prod!O100)),Training_Prod!O97+Training_Prod!O100,"SLO 不可達")</f>
        <v>130382.958870473</v>
      </c>
      <c r="P105" s="60" t="n">
        <f aca="false">IF(AND(ISNUMBER(Training_Prod!P97),ISNUMBER(Training_Prod!P100)),Training_Prod!P97+Training_Prod!P100,"SLO 不可達")</f>
        <v>261956.59903382</v>
      </c>
      <c r="Q105" s="60" t="n">
        <f aca="false">IF(AND(ISNUMBER(Training_Prod!Q97),ISNUMBER(Training_Prod!Q100)),Training_Prod!Q97+Training_Prod!Q100,"SLO 不可達")</f>
        <v>403654.498918959</v>
      </c>
      <c r="S105" s="60" t="n">
        <f aca="false">IF(AND(ISNUMBER(Training_Prod!S97),ISNUMBER(Training_Prod!S100)),Training_Prod!S97+Training_Prod!S100,"SLO 不可達")</f>
        <v>3049615.81801258</v>
      </c>
      <c r="T105" s="60" t="n">
        <f aca="false">IF(AND(ISNUMBER(Training_Prod!T97),ISNUMBER(Training_Prod!T100)),Training_Prod!T97+Training_Prod!T100,"SLO 不可達")</f>
        <v>6126652.06231326</v>
      </c>
      <c r="U105" s="60" t="n">
        <f aca="false">IF(AND(ISNUMBER(Training_Prod!U97),ISNUMBER(Training_Prod!U100)),Training_Prod!U97+Training_Prod!U100,"SLO 不可達")</f>
        <v>9442651.73498115</v>
      </c>
      <c r="V105" s="60" t="n">
        <f aca="false">IF(AND(ISNUMBER(Training_Prod!V97),ISNUMBER(Training_Prod!V100)),Training_Prod!V97+Training_Prod!V100,"SLO 不可達")</f>
        <v>820384.117063266</v>
      </c>
      <c r="W105" s="60" t="n">
        <f aca="false">IF(AND(ISNUMBER(Training_Prod!W97),ISNUMBER(Training_Prod!W100)),Training_Prod!W97+Training_Prod!W100,"SLO 不可達")</f>
        <v>1648115.37671739</v>
      </c>
      <c r="X105" s="60" t="n">
        <f aca="false">IF(AND(ISNUMBER(Training_Prod!X97),ISNUMBER(Training_Prod!X100)),Training_Prod!X97+Training_Prod!X100,"SLO 不可達")</f>
        <v>2540028.48827918</v>
      </c>
      <c r="Y105" s="60" t="n">
        <f aca="false">IF(AND(ISNUMBER(Training_Prod!Y97),ISNUMBER(Training_Prod!Y100)),Training_Prod!Y97+Training_Prod!Y100,"SLO 不可達")</f>
        <v>567443.983911165</v>
      </c>
      <c r="Z105" s="60" t="n">
        <f aca="false">IF(AND(ISNUMBER(Training_Prod!Z97),ISNUMBER(Training_Prod!Z100)),Training_Prod!Z97+Training_Prod!Z100,"SLO 不可達")</f>
        <v>1139786.0628829</v>
      </c>
      <c r="AA105" s="60" t="n">
        <f aca="false">IF(AND(ISNUMBER(Training_Prod!AA97),ISNUMBER(Training_Prod!AA100)),Training_Prod!AA97+Training_Prod!AA100,"SLO 不可達")</f>
        <v>1756968.16704665</v>
      </c>
      <c r="AB105" s="60" t="n">
        <f aca="false">IF(AND(ISNUMBER(Training_Prod!AB97),ISNUMBER(Training_Prod!AB100)),Training_Prod!AB97+Training_Prod!AB100,"SLO 不可達")</f>
        <v>295076.931280297</v>
      </c>
      <c r="AC105" s="60" t="n">
        <f aca="false">IF(AND(ISNUMBER(Training_Prod!AC97),ISNUMBER(Training_Prod!AC100)),Training_Prod!AC97+Training_Prod!AC100,"SLO 不可達")</f>
        <v>592838.408093639</v>
      </c>
      <c r="AD105" s="60" t="n">
        <f aca="false">IF(AND(ISNUMBER(Training_Prod!AD97),ISNUMBER(Training_Prod!AD100)),Training_Prod!AD97+Training_Prod!AD100,"SLO 不可達")</f>
        <v>913542.128737021</v>
      </c>
      <c r="AE105" s="60" t="n">
        <f aca="false">IF(AND(ISNUMBER(Training_Prod!AE97),ISNUMBER(Training_Prod!AE100)),Training_Prod!AE97+Training_Prod!AE100,"SLO 不可達")</f>
        <v>107805.489254781</v>
      </c>
      <c r="AF105" s="60" t="n">
        <f aca="false">IF(AND(ISNUMBER(Training_Prod!AF97),ISNUMBER(Training_Prod!AF100)),Training_Prod!AF97+Training_Prod!AF100,"SLO 不可達")</f>
        <v>216605.67220172</v>
      </c>
      <c r="AG105" s="60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58" t="s">
        <v>1073</v>
      </c>
      <c r="B106" s="56" t="s">
        <v>1010</v>
      </c>
      <c r="C106" s="164" t="n">
        <f aca="false">IF(AND(ISNUMBER(Training_Prod!C104),ISNUMBER(Training_Prod!C105)),Training!C103+Training_Prod!C104+Training_Prod!C105,"SLO 不可達")</f>
        <v>7226394.22377502</v>
      </c>
      <c r="D106" s="164" t="n">
        <f aca="false">IF(AND(ISNUMBER(Training_Prod!D104),ISNUMBER(Training_Prod!D105)),Training!D103+Training_Prod!D104+Training_Prod!D105,"SLO 不可達")</f>
        <v>20096012.9913164</v>
      </c>
      <c r="E106" s="164" t="n">
        <f aca="false">IF(AND(ISNUMBER(Training_Prod!E104),ISNUMBER(Training_Prod!E105)),Training!E103+Training_Prod!E104+Training_Prod!E105,"SLO 不可達")</f>
        <v>122796334.933228</v>
      </c>
      <c r="F106" s="164" t="n">
        <f aca="false">IF(AND(ISNUMBER(Training_Prod!F104),ISNUMBER(Training_Prod!F105)),Training!F103+Training_Prod!F104+Training_Prod!F105,"SLO 不可達")</f>
        <v>2283362.27691392</v>
      </c>
      <c r="G106" s="164" t="n">
        <f aca="false">IF(AND(ISNUMBER(Training_Prod!G104),ISNUMBER(Training_Prod!G105)),Training!G103+Training_Prod!G104+Training_Prod!G105,"SLO 不可達")</f>
        <v>6614051.58756521</v>
      </c>
      <c r="H106" s="164" t="n">
        <f aca="false">IF(AND(ISNUMBER(Training_Prod!H104),ISNUMBER(Training_Prod!H105)),Training!H103+Training_Prod!H104+Training_Prod!H105,"SLO 不可達")</f>
        <v>41229470.8624703</v>
      </c>
      <c r="I106" s="164" t="n">
        <f aca="false">IF(AND(ISNUMBER(Training_Prod!I104),ISNUMBER(Training_Prod!I105)),Training!I103+Training_Prod!I104+Training_Prod!I105,"SLO 不可達")</f>
        <v>1916120.19054511</v>
      </c>
      <c r="J106" s="164" t="n">
        <f aca="false">IF(AND(ISNUMBER(Training_Prod!J104),ISNUMBER(Training_Prod!J105)),Training!J103+Training_Prod!J104+Training_Prod!J105,"SLO 不可達")</f>
        <v>5772061.76696223</v>
      </c>
      <c r="K106" s="164" t="n">
        <f aca="false">IF(AND(ISNUMBER(Training_Prod!K104),ISNUMBER(Training_Prod!K105)),Training!K103+Training_Prod!K104+Training_Prod!K105,"SLO 不可達")</f>
        <v>36751170.23555</v>
      </c>
      <c r="L106" s="164" t="n">
        <f aca="false">IF(AND(ISNUMBER(Training_Prod!L104),ISNUMBER(Training_Prod!L105)),Training!L103+Training_Prod!L104+Training_Prod!L105,"SLO 不可達")</f>
        <v>777335.314438309</v>
      </c>
      <c r="M106" s="164" t="n">
        <f aca="false">IF(AND(ISNUMBER(Training_Prod!M104),ISNUMBER(Training_Prod!M105)),Training!M103+Training_Prod!M104+Training_Prod!M105,"SLO 不可達")</f>
        <v>2216890.49599468</v>
      </c>
      <c r="N106" s="164" t="n">
        <f aca="false">IF(AND(ISNUMBER(Training_Prod!N104),ISNUMBER(Training_Prod!N105)),Training!N103+Training_Prod!N104+Training_Prod!N105,"SLO 不可達")</f>
        <v>13692168.7202768</v>
      </c>
      <c r="O106" s="164" t="n">
        <f aca="false">IF(AND(ISNUMBER(Training_Prod!O104),ISNUMBER(Training_Prod!O105)),Training!O103+Training_Prod!O104+Training_Prod!O105,"SLO 不可達")</f>
        <v>331790.431232589</v>
      </c>
      <c r="P106" s="164" t="n">
        <f aca="false">IF(AND(ISNUMBER(Training_Prod!P104),ISNUMBER(Training_Prod!P105)),Training!P103+Training_Prod!P104+Training_Prod!P105,"SLO 不可達")</f>
        <v>979623.967925788</v>
      </c>
      <c r="Q106" s="164" t="n">
        <f aca="false">IF(AND(ISNUMBER(Training_Prod!Q104),ISNUMBER(Training_Prod!Q105)),Training!Q103+Training_Prod!Q104+Training_Prod!Q105,"SLO 不可達")</f>
        <v>6141987.95167579</v>
      </c>
      <c r="S106" s="164" t="n">
        <f aca="false">IF(AND(ISNUMBER(Training_Prod!S104),ISNUMBER(Training_Prod!S105)),Training!C103+Training_Prod!S104+Training_Prod!S105,"SLO 不可達")</f>
        <v>6394168.86869692</v>
      </c>
      <c r="T106" s="164" t="n">
        <f aca="false">IF(AND(ISNUMBER(Training_Prod!T104),ISNUMBER(Training_Prod!T105)),Training!D103+Training_Prod!T104+Training_Prod!T105,"SLO 不可達")</f>
        <v>18199062.8050043</v>
      </c>
      <c r="U106" s="164" t="n">
        <f aca="false">IF(AND(ISNUMBER(Training_Prod!U104),ISNUMBER(Training_Prod!U105)),Training!E103+Training_Prod!U104+Training_Prod!U105,"SLO 不可達")</f>
        <v>112183463.020854</v>
      </c>
      <c r="V106" s="164" t="n">
        <f aca="false">IF(AND(ISNUMBER(Training_Prod!V104),ISNUMBER(Training_Prod!V105)),Training!F103+Training_Prod!V104+Training_Prod!V105,"SLO 不可達")</f>
        <v>2079780.169416</v>
      </c>
      <c r="W106" s="164" t="n">
        <f aca="false">IF(AND(ISNUMBER(Training_Prod!W104),ISNUMBER(Training_Prod!W105)),Training!G103+Training_Prod!W104+Training_Prod!W105,"SLO 不可達")</f>
        <v>6152335.11648947</v>
      </c>
      <c r="X106" s="164" t="n">
        <f aca="false">IF(AND(ISNUMBER(Training_Prod!X104),ISNUMBER(Training_Prod!X105)),Training!H103+Training_Prod!X104+Training_Prod!X105,"SLO 不可達")</f>
        <v>38678967.4074746</v>
      </c>
      <c r="Y106" s="164" t="n">
        <f aca="false">IF(AND(ISNUMBER(Training_Prod!Y104),ISNUMBER(Training_Prod!Y105)),Training!I103+Training_Prod!Y104+Training_Prod!Y105,"SLO 不可達")</f>
        <v>1775249.94775683</v>
      </c>
      <c r="Z106" s="164" t="n">
        <f aca="false">IF(AND(ISNUMBER(Training_Prod!Z104),ISNUMBER(Training_Prod!Z105)),Training!J103+Training_Prod!Z104+Training_Prod!Z105,"SLO 不可達")</f>
        <v>5453953.11066573</v>
      </c>
      <c r="AA106" s="164" t="n">
        <f aca="false">IF(AND(ISNUMBER(Training_Prod!AA104),ISNUMBER(Training_Prod!AA105)),Training!K103+Training_Prod!AA104+Training_Prod!AA105,"SLO 不可達")</f>
        <v>34975510.1307514</v>
      </c>
      <c r="AB106" s="164" t="n">
        <f aca="false">IF(AND(ISNUMBER(Training_Prod!AB104),ISNUMBER(Training_Prod!AB105)),Training!L103+Training_Prod!AB104+Training_Prod!AB105,"SLO 不可達")</f>
        <v>704197.648874947</v>
      </c>
      <c r="AC106" s="164" t="n">
        <f aca="false">IF(AND(ISNUMBER(Training_Prod!AC104),ISNUMBER(Training_Prod!AC105)),Training!M103+Training_Prod!AC104+Training_Prod!AC105,"SLO 不可達")</f>
        <v>2051289.25958755</v>
      </c>
      <c r="AD106" s="164" t="n">
        <f aca="false">IF(AND(ISNUMBER(Training_Prod!AD104),ISNUMBER(Training_Prod!AD105)),Training!N103+Training_Prod!AD104+Training_Prod!AD105,"SLO 不可達")</f>
        <v>12784087.465584</v>
      </c>
      <c r="AE106" s="164" t="n">
        <f aca="false">IF(AND(ISNUMBER(Training_Prod!AE104),ISNUMBER(Training_Prod!AE105)),Training!O103+Training_Prod!AE104+Training_Prod!AE105,"SLO 不可達")</f>
        <v>305060.599619606</v>
      </c>
      <c r="AF106" s="164" t="n">
        <f aca="false">IF(AND(ISNUMBER(Training_Prod!AF104),ISNUMBER(Training_Prod!AF105)),Training!P103+Training_Prod!AF104+Training_Prod!AF105,"SLO 不可達")</f>
        <v>919050.37142924</v>
      </c>
      <c r="AG106" s="164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58" t="s">
        <v>1087</v>
      </c>
      <c r="B120" s="56" t="s">
        <v>1010</v>
      </c>
      <c r="C120" s="164" t="n">
        <f aca="false">IF(AND(ISNUMBER(Training_Prod!C106)),Training_Prod!C106*Training!C119,"SLO 不可達")</f>
        <v>57811153.7902002</v>
      </c>
      <c r="D120" s="164" t="n">
        <f aca="false">IF(AND(ISNUMBER(Training_Prod!D106)),Training_Prod!D106*Training!D119,"SLO 不可達")</f>
        <v>160768103.930531</v>
      </c>
      <c r="E120" s="164" t="n">
        <f aca="false">IF(AND(ISNUMBER(Training_Prod!E106)),Training_Prod!E106*Training!E119,"SLO 不可達")</f>
        <v>982370679.465827</v>
      </c>
      <c r="F120" s="164" t="n">
        <f aca="false">IF(AND(ISNUMBER(Training_Prod!F106)),Training_Prod!F106*Training!F119,"SLO 不可達")</f>
        <v>18266898.2153113</v>
      </c>
      <c r="G120" s="164" t="n">
        <f aca="false">IF(AND(ISNUMBER(Training_Prod!G106)),Training_Prod!G106*Training!G119,"SLO 不可達")</f>
        <v>52912412.7005217</v>
      </c>
      <c r="H120" s="164" t="n">
        <f aca="false">IF(AND(ISNUMBER(Training_Prod!H106)),Training_Prod!H106*Training!H119,"SLO 不可達")</f>
        <v>329835766.899762</v>
      </c>
      <c r="I120" s="164" t="n">
        <f aca="false">IF(AND(ISNUMBER(Training_Prod!I106)),Training_Prod!I106*Training!I119,"SLO 不可達")</f>
        <v>15328961.5243609</v>
      </c>
      <c r="J120" s="164" t="n">
        <f aca="false">IF(AND(ISNUMBER(Training_Prod!J106)),Training_Prod!J106*Training!J119,"SLO 不可達")</f>
        <v>46176494.1356978</v>
      </c>
      <c r="K120" s="164" t="n">
        <f aca="false">IF(AND(ISNUMBER(Training_Prod!K106)),Training_Prod!K106*Training!K119,"SLO 不可達")</f>
        <v>294009361.8844</v>
      </c>
      <c r="L120" s="164" t="n">
        <f aca="false">IF(AND(ISNUMBER(Training_Prod!L106)),Training_Prod!L106*Training!L119,"SLO 不可達")</f>
        <v>6218682.51550648</v>
      </c>
      <c r="M120" s="164" t="n">
        <f aca="false">IF(AND(ISNUMBER(Training_Prod!M106)),Training_Prod!M106*Training!M119,"SLO 不可達")</f>
        <v>17735123.9679574</v>
      </c>
      <c r="N120" s="164" t="n">
        <f aca="false">IF(AND(ISNUMBER(Training_Prod!N106)),Training_Prod!N106*Training!N119,"SLO 不可達")</f>
        <v>109537349.762214</v>
      </c>
      <c r="O120" s="164" t="n">
        <f aca="false">IF(AND(ISNUMBER(Training_Prod!O106)),Training_Prod!O106*Training!O119,"SLO 不可達")</f>
        <v>2654323.44986071</v>
      </c>
      <c r="P120" s="164" t="n">
        <f aca="false">IF(AND(ISNUMBER(Training_Prod!P106)),Training_Prod!P106*Training!P119,"SLO 不可達")</f>
        <v>7836991.7434063</v>
      </c>
      <c r="Q120" s="164" t="n">
        <f aca="false">IF(AND(ISNUMBER(Training_Prod!Q106)),Training_Prod!Q106*Training!Q119,"SLO 不可達")</f>
        <v>49135903.6134063</v>
      </c>
      <c r="S120" s="164" t="n">
        <f aca="false">IF(AND(ISNUMBER(Training_Prod!S106)),Training_Prod!S106*Training!C119,"SLO 不可達")</f>
        <v>51153350.9495753</v>
      </c>
      <c r="T120" s="164" t="n">
        <f aca="false">IF(AND(ISNUMBER(Training_Prod!T106)),Training_Prod!T106*Training!D119,"SLO 不可達")</f>
        <v>145592502.440035</v>
      </c>
      <c r="U120" s="164" t="n">
        <f aca="false">IF(AND(ISNUMBER(Training_Prod!U106)),Training_Prod!U106*Training!E119,"SLO 不可達")</f>
        <v>897467704.166834</v>
      </c>
      <c r="V120" s="164" t="n">
        <f aca="false">IF(AND(ISNUMBER(Training_Prod!V106)),Training_Prod!V106*Training!F119,"SLO 不可達")</f>
        <v>16638241.355328</v>
      </c>
      <c r="W120" s="164" t="n">
        <f aca="false">IF(AND(ISNUMBER(Training_Prod!W106)),Training_Prod!W106*Training!G119,"SLO 不可達")</f>
        <v>49218680.9319158</v>
      </c>
      <c r="X120" s="164" t="n">
        <f aca="false">IF(AND(ISNUMBER(Training_Prod!X106)),Training_Prod!X106*Training!H119,"SLO 不可達")</f>
        <v>309431739.259797</v>
      </c>
      <c r="Y120" s="164" t="n">
        <f aca="false">IF(AND(ISNUMBER(Training_Prod!Y106)),Training_Prod!Y106*Training!I119,"SLO 不可達")</f>
        <v>14201999.5820546</v>
      </c>
      <c r="Z120" s="164" t="n">
        <f aca="false">IF(AND(ISNUMBER(Training_Prod!Z106)),Training_Prod!Z106*Training!J119,"SLO 不可達")</f>
        <v>43631624.8853258</v>
      </c>
      <c r="AA120" s="164" t="n">
        <f aca="false">IF(AND(ISNUMBER(Training_Prod!AA106)),Training_Prod!AA106*Training!K119,"SLO 不可達")</f>
        <v>279804081.046011</v>
      </c>
      <c r="AB120" s="164" t="n">
        <f aca="false">IF(AND(ISNUMBER(Training_Prod!AB106)),Training_Prod!AB106*Training!L119,"SLO 不可達")</f>
        <v>5633581.19099958</v>
      </c>
      <c r="AC120" s="164" t="n">
        <f aca="false">IF(AND(ISNUMBER(Training_Prod!AC106)),Training_Prod!AC106*Training!M119,"SLO 不可達")</f>
        <v>16410314.0767004</v>
      </c>
      <c r="AD120" s="164" t="n">
        <f aca="false">IF(AND(ISNUMBER(Training_Prod!AD106)),Training_Prod!AD106*Training!N119,"SLO 不可達")</f>
        <v>102272699.724672</v>
      </c>
      <c r="AE120" s="164" t="n">
        <f aca="false">IF(AND(ISNUMBER(Training_Prod!AE106)),Training_Prod!AE106*Training!O119,"SLO 不可達")</f>
        <v>2440484.79695685</v>
      </c>
      <c r="AF120" s="164" t="n">
        <f aca="false">IF(AND(ISNUMBER(Training_Prod!AF106)),Training_Prod!AF106*Training!P119,"SLO 不可達")</f>
        <v>7352402.97143392</v>
      </c>
      <c r="AG120" s="164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2326</v>
      </c>
    </row>
    <row r="2" customFormat="false" ht="15" hidden="false" customHeight="false" outlineLevel="0" collapsed="false">
      <c r="A2" s="71" t="s">
        <v>2327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Unit_Cost!A4</f>
        <v>世代</v>
      </c>
      <c r="C4" s="90" t="str">
        <f aca="false">Unit_Cost!C4</f>
        <v>Hopper H100</v>
      </c>
      <c r="D4" s="90" t="str">
        <f aca="false">Unit_Cost!D4</f>
        <v>Hopper H100</v>
      </c>
      <c r="E4" s="90" t="str">
        <f aca="false">Unit_Cost!E4</f>
        <v>Hopper H100</v>
      </c>
      <c r="F4" s="90" t="str">
        <f aca="false">Unit_Cost!F4</f>
        <v>GB200 NVL72</v>
      </c>
      <c r="G4" s="90" t="str">
        <f aca="false">Unit_Cost!G4</f>
        <v>GB200 NVL72</v>
      </c>
      <c r="H4" s="90" t="str">
        <f aca="false">Unit_Cost!H4</f>
        <v>GB200 NVL72</v>
      </c>
      <c r="I4" s="90" t="str">
        <f aca="false">Unit_Cost!I4</f>
        <v>GB300 NVL72</v>
      </c>
      <c r="J4" s="90" t="str">
        <f aca="false">Unit_Cost!J4</f>
        <v>GB300 NVL72</v>
      </c>
      <c r="K4" s="90" t="str">
        <f aca="false">Unit_Cost!K4</f>
        <v>GB300 NVL72</v>
      </c>
      <c r="L4" s="90" t="str">
        <f aca="false">Unit_Cost!L4</f>
        <v>VR200 NVL72</v>
      </c>
      <c r="M4" s="90" t="str">
        <f aca="false">Unit_Cost!M4</f>
        <v>VR200 NVL72</v>
      </c>
      <c r="N4" s="90" t="str">
        <f aca="false">Unit_Cost!N4</f>
        <v>VR200 NVL72</v>
      </c>
      <c r="O4" s="90" t="str">
        <f aca="false">Unit_Cost!O4</f>
        <v>Rubin Ultra（MGX NVL 單架，72 GPU）</v>
      </c>
      <c r="P4" s="90" t="str">
        <f aca="false">Unit_Cost!P4</f>
        <v>Rubin Ultra（MGX NVL 單架，72 GPU）</v>
      </c>
      <c r="Q4" s="90" t="str">
        <f aca="false">Unit_Cost!Q4</f>
        <v>Rubin Ultra（MGX NVL 單架，72 GPU）</v>
      </c>
      <c r="S4" s="90" t="str">
        <f aca="false">Unit_Cost!C4</f>
        <v>Hopper H100</v>
      </c>
      <c r="T4" s="90" t="str">
        <f aca="false">Unit_Cost!D4</f>
        <v>Hopper H100</v>
      </c>
      <c r="U4" s="90" t="str">
        <f aca="false">Unit_Cost!E4</f>
        <v>Hopper H100</v>
      </c>
      <c r="V4" s="90" t="str">
        <f aca="false">Unit_Cost!F4</f>
        <v>GB200 NVL72</v>
      </c>
      <c r="W4" s="90" t="str">
        <f aca="false">Unit_Cost!G4</f>
        <v>GB200 NVL72</v>
      </c>
      <c r="X4" s="90" t="str">
        <f aca="false">Unit_Cost!H4</f>
        <v>GB200 NVL72</v>
      </c>
      <c r="Y4" s="90" t="str">
        <f aca="false">Unit_Cost!I4</f>
        <v>GB300 NVL72</v>
      </c>
      <c r="Z4" s="90" t="str">
        <f aca="false">Unit_Cost!J4</f>
        <v>GB300 NVL72</v>
      </c>
      <c r="AA4" s="90" t="str">
        <f aca="false">Unit_Cost!K4</f>
        <v>GB300 NVL72</v>
      </c>
      <c r="AB4" s="90" t="str">
        <f aca="false">Unit_Cost!L4</f>
        <v>VR200 NVL72</v>
      </c>
      <c r="AC4" s="90" t="str">
        <f aca="false">Unit_Cost!M4</f>
        <v>VR200 NVL72</v>
      </c>
      <c r="AD4" s="90" t="str">
        <f aca="false">Unit_Cost!N4</f>
        <v>VR200 NVL72</v>
      </c>
      <c r="AE4" s="90" t="str">
        <f aca="false">Unit_Cost!O4</f>
        <v>Rubin Ultra（MGX NVL 單架，72 GPU）</v>
      </c>
      <c r="AF4" s="90" t="str">
        <f aca="false">Unit_Cost!P4</f>
        <v>Rubin Ultra（MGX NVL 單架，72 GPU）</v>
      </c>
      <c r="AG4" s="90" t="str">
        <f aca="false">Unit_Cost!Q4</f>
        <v>Rubin Ultra（MGX NVL 單架，72 GPU）</v>
      </c>
    </row>
    <row r="5" customFormat="false" ht="15" hidden="false" customHeight="false" outlineLevel="0" collapsed="false">
      <c r="A5" s="90" t="str">
        <f aca="false">Unit_Cost!A5</f>
        <v>成本情境</v>
      </c>
      <c r="C5" s="90" t="str">
        <f aca="false">Unit_Cost!C5</f>
        <v>低成本</v>
      </c>
      <c r="D5" s="90" t="str">
        <f aca="false">Unit_Cost!D5</f>
        <v>基準</v>
      </c>
      <c r="E5" s="90" t="str">
        <f aca="false">Unit_Cost!E5</f>
        <v>高成本</v>
      </c>
      <c r="F5" s="90" t="str">
        <f aca="false">Unit_Cost!F5</f>
        <v>低成本</v>
      </c>
      <c r="G5" s="90" t="str">
        <f aca="false">Unit_Cost!G5</f>
        <v>基準</v>
      </c>
      <c r="H5" s="90" t="str">
        <f aca="false">Unit_Cost!H5</f>
        <v>高成本</v>
      </c>
      <c r="I5" s="90" t="str">
        <f aca="false">Unit_Cost!I5</f>
        <v>低成本</v>
      </c>
      <c r="J5" s="90" t="str">
        <f aca="false">Unit_Cost!J5</f>
        <v>基準</v>
      </c>
      <c r="K5" s="90" t="str">
        <f aca="false">Unit_Cost!K5</f>
        <v>高成本</v>
      </c>
      <c r="L5" s="90" t="str">
        <f aca="false">Unit_Cost!L5</f>
        <v>低成本</v>
      </c>
      <c r="M5" s="90" t="str">
        <f aca="false">Unit_Cost!M5</f>
        <v>基準</v>
      </c>
      <c r="N5" s="90" t="str">
        <f aca="false">Unit_Cost!N5</f>
        <v>高成本</v>
      </c>
      <c r="O5" s="90" t="str">
        <f aca="false">Unit_Cost!O5</f>
        <v>低成本</v>
      </c>
      <c r="P5" s="90" t="str">
        <f aca="false">Unit_Cost!P5</f>
        <v>基準</v>
      </c>
      <c r="Q5" s="90" t="str">
        <f aca="false">Unit_Cost!Q5</f>
        <v>高成本</v>
      </c>
      <c r="S5" s="90" t="str">
        <f aca="false">Unit_Cost!C5</f>
        <v>低成本</v>
      </c>
      <c r="T5" s="90" t="str">
        <f aca="false">Unit_Cost!D5</f>
        <v>基準</v>
      </c>
      <c r="U5" s="90" t="str">
        <f aca="false">Unit_Cost!E5</f>
        <v>高成本</v>
      </c>
      <c r="V5" s="90" t="str">
        <f aca="false">Unit_Cost!F5</f>
        <v>低成本</v>
      </c>
      <c r="W5" s="90" t="str">
        <f aca="false">Unit_Cost!G5</f>
        <v>基準</v>
      </c>
      <c r="X5" s="90" t="str">
        <f aca="false">Unit_Cost!H5</f>
        <v>高成本</v>
      </c>
      <c r="Y5" s="90" t="str">
        <f aca="false">Unit_Cost!I5</f>
        <v>低成本</v>
      </c>
      <c r="Z5" s="90" t="str">
        <f aca="false">Unit_Cost!J5</f>
        <v>基準</v>
      </c>
      <c r="AA5" s="90" t="str">
        <f aca="false">Unit_Cost!K5</f>
        <v>高成本</v>
      </c>
      <c r="AB5" s="90" t="str">
        <f aca="false">Unit_Cost!L5</f>
        <v>低成本</v>
      </c>
      <c r="AC5" s="90" t="str">
        <f aca="false">Unit_Cost!M5</f>
        <v>基準</v>
      </c>
      <c r="AD5" s="90" t="str">
        <f aca="false">Unit_Cost!N5</f>
        <v>高成本</v>
      </c>
      <c r="AE5" s="90" t="str">
        <f aca="false">Unit_Cost!O5</f>
        <v>低成本</v>
      </c>
      <c r="AF5" s="90" t="str">
        <f aca="false">Unit_Cost!P5</f>
        <v>基準</v>
      </c>
      <c r="AG5" s="90" t="str">
        <f aca="false">Unit_Cost!Q5</f>
        <v>高成本</v>
      </c>
    </row>
    <row r="6" customFormat="false" ht="15" hidden="false" customHeight="false" outlineLevel="0" collapsed="false">
      <c r="A6" s="90" t="str">
        <f aca="false">Unit_Cost!A6</f>
        <v>世代索引</v>
      </c>
      <c r="C6" s="87" t="n">
        <f aca="false">Unit_Cost!C6</f>
        <v>1</v>
      </c>
      <c r="D6" s="87" t="n">
        <f aca="false">Unit_Cost!D6</f>
        <v>1</v>
      </c>
      <c r="E6" s="87" t="n">
        <f aca="false">Unit_Cost!E6</f>
        <v>1</v>
      </c>
      <c r="F6" s="87" t="n">
        <f aca="false">Unit_Cost!F6</f>
        <v>2</v>
      </c>
      <c r="G6" s="87" t="n">
        <f aca="false">Unit_Cost!G6</f>
        <v>2</v>
      </c>
      <c r="H6" s="87" t="n">
        <f aca="false">Unit_Cost!H6</f>
        <v>2</v>
      </c>
      <c r="I6" s="87" t="n">
        <f aca="false">Unit_Cost!I6</f>
        <v>3</v>
      </c>
      <c r="J6" s="87" t="n">
        <f aca="false">Unit_Cost!J6</f>
        <v>3</v>
      </c>
      <c r="K6" s="87" t="n">
        <f aca="false">Unit_Cost!K6</f>
        <v>3</v>
      </c>
      <c r="L6" s="87" t="n">
        <f aca="false">Unit_Cost!L6</f>
        <v>4</v>
      </c>
      <c r="M6" s="87" t="n">
        <f aca="false">Unit_Cost!M6</f>
        <v>4</v>
      </c>
      <c r="N6" s="87" t="n">
        <f aca="false">Unit_Cost!N6</f>
        <v>4</v>
      </c>
      <c r="O6" s="87" t="n">
        <f aca="false">Unit_Cost!O6</f>
        <v>5</v>
      </c>
      <c r="P6" s="87" t="n">
        <f aca="false">Unit_Cost!P6</f>
        <v>5</v>
      </c>
      <c r="Q6" s="87" t="n">
        <f aca="false">Unit_Cost!Q6</f>
        <v>5</v>
      </c>
      <c r="S6" s="87" t="n">
        <f aca="false">Unit_Cost!C6</f>
        <v>1</v>
      </c>
      <c r="T6" s="87" t="n">
        <f aca="false">Unit_Cost!D6</f>
        <v>1</v>
      </c>
      <c r="U6" s="87" t="n">
        <f aca="false">Unit_Cost!E6</f>
        <v>1</v>
      </c>
      <c r="V6" s="87" t="n">
        <f aca="false">Unit_Cost!F6</f>
        <v>2</v>
      </c>
      <c r="W6" s="87" t="n">
        <f aca="false">Unit_Cost!G6</f>
        <v>2</v>
      </c>
      <c r="X6" s="87" t="n">
        <f aca="false">Unit_Cost!H6</f>
        <v>2</v>
      </c>
      <c r="Y6" s="87" t="n">
        <f aca="false">Unit_Cost!I6</f>
        <v>3</v>
      </c>
      <c r="Z6" s="87" t="n">
        <f aca="false">Unit_Cost!J6</f>
        <v>3</v>
      </c>
      <c r="AA6" s="87" t="n">
        <f aca="false">Unit_Cost!K6</f>
        <v>3</v>
      </c>
      <c r="AB6" s="87" t="n">
        <f aca="false">Unit_Cost!L6</f>
        <v>4</v>
      </c>
      <c r="AC6" s="87" t="n">
        <f aca="false">Unit_Cost!M6</f>
        <v>4</v>
      </c>
      <c r="AD6" s="87" t="n">
        <f aca="false">Unit_Cost!N6</f>
        <v>4</v>
      </c>
      <c r="AE6" s="87" t="n">
        <f aca="false">Unit_Cost!O6</f>
        <v>5</v>
      </c>
      <c r="AF6" s="87" t="n">
        <f aca="false">Unit_Cost!P6</f>
        <v>5</v>
      </c>
      <c r="AG6" s="87" t="n">
        <f aca="false">Unit_Cost!Q6</f>
        <v>5</v>
      </c>
    </row>
    <row r="7" customFormat="false" ht="15" hidden="false" customHeight="false" outlineLevel="0" collapsed="false">
      <c r="A7" s="90" t="str">
        <f aca="false">Unit_Cost!A7</f>
        <v>共用</v>
      </c>
    </row>
    <row r="13" customFormat="false" ht="15" hidden="false" customHeight="false" outlineLevel="0" collapsed="false">
      <c r="A13" s="59" t="s">
        <v>843</v>
      </c>
      <c r="B13" s="56" t="s">
        <v>781</v>
      </c>
      <c r="C13" s="96" t="n">
        <f aca="false">INDEX(Perf_Prod!$C$101:$Q$101,3*(Unit_Cost!C$6-1)+1)</f>
        <v>151.707275617169</v>
      </c>
      <c r="D13" s="96" t="n">
        <f aca="false">INDEX(Perf_Prod!$C$101:$Q$101,3*(Unit_Cost!D$6-1)+1)</f>
        <v>151.707275617169</v>
      </c>
      <c r="E13" s="96" t="n">
        <f aca="false">INDEX(Perf_Prod!$C$101:$Q$101,3*(Unit_Cost!E$6-1)+1)</f>
        <v>151.707275617169</v>
      </c>
      <c r="F13" s="96" t="n">
        <f aca="false">INDEX(Perf_Prod!$C$101:$Q$101,3*(Unit_Cost!F$6-1)+1)</f>
        <v>15.003849558538</v>
      </c>
      <c r="G13" s="96" t="n">
        <f aca="false">INDEX(Perf_Prod!$C$101:$Q$101,3*(Unit_Cost!G$6-1)+1)</f>
        <v>15.003849558538</v>
      </c>
      <c r="H13" s="96" t="n">
        <f aca="false">INDEX(Perf_Prod!$C$101:$Q$101,3*(Unit_Cost!H$6-1)+1)</f>
        <v>15.003849558538</v>
      </c>
      <c r="I13" s="96" t="n">
        <f aca="false">INDEX(Perf_Prod!$C$101:$Q$101,3*(Unit_Cost!I$6-1)+1)</f>
        <v>10.0025663723587</v>
      </c>
      <c r="J13" s="96" t="n">
        <f aca="false">INDEX(Perf_Prod!$C$101:$Q$101,3*(Unit_Cost!J$6-1)+1)</f>
        <v>10.0025663723587</v>
      </c>
      <c r="K13" s="96" t="n">
        <f aca="false">INDEX(Perf_Prod!$C$101:$Q$101,3*(Unit_Cost!K$6-1)+1)</f>
        <v>10.0025663723587</v>
      </c>
      <c r="L13" s="96" t="n">
        <f aca="false">INDEX(Perf_Prod!$C$101:$Q$101,3*(Unit_Cost!L$6-1)+1)</f>
        <v>4.2868141595823</v>
      </c>
      <c r="M13" s="96" t="n">
        <f aca="false">INDEX(Perf_Prod!$C$101:$Q$101,3*(Unit_Cost!M$6-1)+1)</f>
        <v>4.2868141595823</v>
      </c>
      <c r="N13" s="96" t="n">
        <f aca="false">INDEX(Perf_Prod!$C$101:$Q$101,3*(Unit_Cost!N$6-1)+1)</f>
        <v>4.2868141595823</v>
      </c>
      <c r="O13" s="96" t="n">
        <f aca="false">INDEX(Perf_Prod!$C$101:$Q$101,3*(Unit_Cost!O$6-1)+1)</f>
        <v>2.14340707979115</v>
      </c>
      <c r="P13" s="96" t="n">
        <f aca="false">INDEX(Perf_Prod!$C$101:$Q$101,3*(Unit_Cost!P$6-1)+1)</f>
        <v>2.14340707979115</v>
      </c>
      <c r="Q13" s="96" t="n">
        <f aca="false">INDEX(Perf_Prod!$C$101:$Q$101,3*(Unit_Cost!Q$6-1)+1)</f>
        <v>2.14340707979115</v>
      </c>
      <c r="S13" s="96" t="n">
        <f aca="false">INDEX(Perf_Prod!$S$101:$AG$101,3*(Unit_Cost!C$6-1)+1)</f>
        <v>128.951184274594</v>
      </c>
      <c r="T13" s="96" t="n">
        <f aca="false">INDEX(Perf_Prod!$S$101:$AG$101,3*(Unit_Cost!D$6-1)+1)</f>
        <v>128.951184274594</v>
      </c>
      <c r="U13" s="96" t="n">
        <f aca="false">INDEX(Perf_Prod!$S$101:$AG$101,3*(Unit_Cost!E$6-1)+1)</f>
        <v>128.951184274594</v>
      </c>
      <c r="V13" s="96" t="n">
        <f aca="false">INDEX(Perf_Prod!$S$101:$AG$101,3*(Unit_Cost!F$6-1)+1)</f>
        <v>12.7532721247573</v>
      </c>
      <c r="W13" s="96" t="n">
        <f aca="false">INDEX(Perf_Prod!$S$101:$AG$101,3*(Unit_Cost!G$6-1)+1)</f>
        <v>12.7532721247573</v>
      </c>
      <c r="X13" s="96" t="n">
        <f aca="false">INDEX(Perf_Prod!$S$101:$AG$101,3*(Unit_Cost!H$6-1)+1)</f>
        <v>12.7532721247573</v>
      </c>
      <c r="Y13" s="96" t="n">
        <f aca="false">INDEX(Perf_Prod!$S$101:$AG$101,3*(Unit_Cost!I$6-1)+1)</f>
        <v>8.50218141650489</v>
      </c>
      <c r="Z13" s="96" t="n">
        <f aca="false">INDEX(Perf_Prod!$S$101:$AG$101,3*(Unit_Cost!J$6-1)+1)</f>
        <v>8.50218141650489</v>
      </c>
      <c r="AA13" s="96" t="n">
        <f aca="false">INDEX(Perf_Prod!$S$101:$AG$101,3*(Unit_Cost!K$6-1)+1)</f>
        <v>8.50218141650489</v>
      </c>
      <c r="AB13" s="96" t="n">
        <f aca="false">INDEX(Perf_Prod!$S$101:$AG$101,3*(Unit_Cost!L$6-1)+1)</f>
        <v>3.64379203564495</v>
      </c>
      <c r="AC13" s="96" t="n">
        <f aca="false">INDEX(Perf_Prod!$S$101:$AG$101,3*(Unit_Cost!M$6-1)+1)</f>
        <v>3.64379203564495</v>
      </c>
      <c r="AD13" s="96" t="n">
        <f aca="false">INDEX(Perf_Prod!$S$101:$AG$101,3*(Unit_Cost!N$6-1)+1)</f>
        <v>3.64379203564495</v>
      </c>
      <c r="AE13" s="96" t="n">
        <f aca="false">INDEX(Perf_Prod!$S$101:$AG$101,3*(Unit_Cost!O$6-1)+1)</f>
        <v>1.82189601782248</v>
      </c>
      <c r="AF13" s="96" t="n">
        <f aca="false">INDEX(Perf_Prod!$S$101:$AG$101,3*(Unit_Cost!P$6-1)+1)</f>
        <v>1.82189601782248</v>
      </c>
      <c r="AG13" s="96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9" t="s">
        <v>845</v>
      </c>
      <c r="B15" s="56" t="s">
        <v>781</v>
      </c>
      <c r="C15" s="96" t="n">
        <f aca="false">INDEX(Perf_Prod!$C$103:$Q$103,3*(Unit_Cost!C$6-1)+1)</f>
        <v>2800.78350981047</v>
      </c>
      <c r="D15" s="96" t="n">
        <f aca="false">INDEX(Perf_Prod!$C$103:$Q$103,3*(Unit_Cost!D$6-1)+1)</f>
        <v>2800.78350981047</v>
      </c>
      <c r="E15" s="96" t="n">
        <f aca="false">INDEX(Perf_Prod!$C$103:$Q$103,3*(Unit_Cost!E$6-1)+1)</f>
        <v>2800.78350981047</v>
      </c>
      <c r="F15" s="96" t="n">
        <f aca="false">INDEX(Perf_Prod!$C$103:$Q$103,3*(Unit_Cost!F$6-1)+1)</f>
        <v>382.784987381678</v>
      </c>
      <c r="G15" s="96" t="n">
        <f aca="false">INDEX(Perf_Prod!$C$103:$Q$103,3*(Unit_Cost!G$6-1)+1)</f>
        <v>382.784987381678</v>
      </c>
      <c r="H15" s="96" t="n">
        <f aca="false">INDEX(Perf_Prod!$C$103:$Q$103,3*(Unit_Cost!H$6-1)+1)</f>
        <v>382.784987381678</v>
      </c>
      <c r="I15" s="96" t="n">
        <f aca="false">INDEX(Perf_Prod!$C$103:$Q$103,3*(Unit_Cost!I$6-1)+1)</f>
        <v>255.189991587785</v>
      </c>
      <c r="J15" s="96" t="n">
        <f aca="false">INDEX(Perf_Prod!$C$103:$Q$103,3*(Unit_Cost!J$6-1)+1)</f>
        <v>255.189991587785</v>
      </c>
      <c r="K15" s="96" t="n">
        <f aca="false">INDEX(Perf_Prod!$C$103:$Q$103,3*(Unit_Cost!K$6-1)+1)</f>
        <v>255.189991587785</v>
      </c>
      <c r="L15" s="96" t="n">
        <f aca="false">INDEX(Perf_Prod!$C$103:$Q$103,3*(Unit_Cost!L$6-1)+1)</f>
        <v>101.841168022192</v>
      </c>
      <c r="M15" s="96" t="n">
        <f aca="false">INDEX(Perf_Prod!$C$103:$Q$103,3*(Unit_Cost!M$6-1)+1)</f>
        <v>101.841168022192</v>
      </c>
      <c r="N15" s="96" t="n">
        <f aca="false">INDEX(Perf_Prod!$C$103:$Q$103,3*(Unit_Cost!N$6-1)+1)</f>
        <v>101.841168022192</v>
      </c>
      <c r="O15" s="96" t="n">
        <f aca="false">INDEX(Perf_Prod!$C$103:$Q$103,3*(Unit_Cost!O$6-1)+1)</f>
        <v>49.9854025436179</v>
      </c>
      <c r="P15" s="96" t="n">
        <f aca="false">INDEX(Perf_Prod!$C$103:$Q$103,3*(Unit_Cost!P$6-1)+1)</f>
        <v>49.9854025436179</v>
      </c>
      <c r="Q15" s="96" t="n">
        <f aca="false">INDEX(Perf_Prod!$C$103:$Q$103,3*(Unit_Cost!Q$6-1)+1)</f>
        <v>49.9854025436179</v>
      </c>
      <c r="S15" s="96" t="n">
        <f aca="false">INDEX(Perf_Prod!$S$103:$AG$103,3*(Unit_Cost!C$6-1)+1)</f>
        <v>1719.93391321739</v>
      </c>
      <c r="T15" s="96" t="n">
        <f aca="false">INDEX(Perf_Prod!$S$103:$AG$103,3*(Unit_Cost!D$6-1)+1)</f>
        <v>1719.93391321739</v>
      </c>
      <c r="U15" s="96" t="n">
        <f aca="false">INDEX(Perf_Prod!$S$103:$AG$103,3*(Unit_Cost!E$6-1)+1)</f>
        <v>1719.93391321739</v>
      </c>
      <c r="V15" s="96" t="n">
        <f aca="false">INDEX(Perf_Prod!$S$103:$AG$103,3*(Unit_Cost!F$6-1)+1)</f>
        <v>291.04887389608</v>
      </c>
      <c r="W15" s="96" t="n">
        <f aca="false">INDEX(Perf_Prod!$S$103:$AG$103,3*(Unit_Cost!G$6-1)+1)</f>
        <v>291.04887389608</v>
      </c>
      <c r="X15" s="96" t="n">
        <f aca="false">INDEX(Perf_Prod!$S$103:$AG$103,3*(Unit_Cost!H$6-1)+1)</f>
        <v>291.04887389608</v>
      </c>
      <c r="Y15" s="96" t="n">
        <f aca="false">INDEX(Perf_Prod!$S$103:$AG$103,3*(Unit_Cost!I$6-1)+1)</f>
        <v>194.032582597387</v>
      </c>
      <c r="Z15" s="96" t="n">
        <f aca="false">INDEX(Perf_Prod!$S$103:$AG$103,3*(Unit_Cost!J$6-1)+1)</f>
        <v>194.032582597387</v>
      </c>
      <c r="AA15" s="96" t="n">
        <f aca="false">INDEX(Perf_Prod!$S$103:$AG$103,3*(Unit_Cost!K$6-1)+1)</f>
        <v>194.032582597387</v>
      </c>
      <c r="AB15" s="96" t="n">
        <f aca="false">INDEX(Perf_Prod!$S$103:$AG$103,3*(Unit_Cost!L$6-1)+1)</f>
        <v>78.000625684729</v>
      </c>
      <c r="AC15" s="96" t="n">
        <f aca="false">INDEX(Perf_Prod!$S$103:$AG$103,3*(Unit_Cost!M$6-1)+1)</f>
        <v>78.000625684729</v>
      </c>
      <c r="AD15" s="96" t="n">
        <f aca="false">INDEX(Perf_Prod!$S$103:$AG$103,3*(Unit_Cost!N$6-1)+1)</f>
        <v>78.000625684729</v>
      </c>
      <c r="AE15" s="96" t="n">
        <f aca="false">INDEX(Perf_Prod!$S$103:$AG$103,3*(Unit_Cost!O$6-1)+1)</f>
        <v>38.3537418336927</v>
      </c>
      <c r="AF15" s="96" t="n">
        <f aca="false">INDEX(Perf_Prod!$S$103:$AG$103,3*(Unit_Cost!P$6-1)+1)</f>
        <v>38.3537418336927</v>
      </c>
      <c r="AG15" s="96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846</v>
      </c>
      <c r="B16" s="56" t="s">
        <v>795</v>
      </c>
      <c r="C16" s="114" t="n">
        <f aca="false">Unit_Cost!C$8/3600*Unit_Cost_Prod!C13</f>
        <v>0.0454972167701083</v>
      </c>
      <c r="D16" s="114" t="n">
        <f aca="false">Unit_Cost!D$8/3600*Unit_Cost_Prod!D13</f>
        <v>0.0650064221254633</v>
      </c>
      <c r="E16" s="114" t="n">
        <f aca="false">Unit_Cost!E$8/3600*Unit_Cost_Prod!E13</f>
        <v>0.111639936606646</v>
      </c>
      <c r="F16" s="114" t="n">
        <f aca="false">Unit_Cost!F$8/3600*Unit_Cost_Prod!F13</f>
        <v>0.0062692257719205</v>
      </c>
      <c r="G16" s="114" t="n">
        <f aca="false">Unit_Cost!G$8/3600*Unit_Cost_Prod!G13</f>
        <v>0.00837073517666367</v>
      </c>
      <c r="H16" s="114" t="n">
        <f aca="false">Unit_Cost!H$8/3600*Unit_Cost_Prod!H13</f>
        <v>0.013576659542823</v>
      </c>
      <c r="I16" s="114" t="n">
        <f aca="false">Unit_Cost!I$8/3600*Unit_Cost_Prod!I13</f>
        <v>0.00548958603195948</v>
      </c>
      <c r="J16" s="114" t="n">
        <f aca="false">Unit_Cost!J$8/3600*Unit_Cost_Prod!J13</f>
        <v>0.00709011804726542</v>
      </c>
      <c r="K16" s="114" t="n">
        <f aca="false">Unit_Cost!K$8/3600*Unit_Cost_Prod!K13</f>
        <v>0.0120712716580734</v>
      </c>
      <c r="L16" s="114" t="n">
        <f aca="false">Unit_Cost!L$8/3600*Unit_Cost_Prod!L13</f>
        <v>0.00443201753513739</v>
      </c>
      <c r="M16" s="114" t="n">
        <f aca="false">Unit_Cost!M$8/3600*Unit_Cost_Prod!M13</f>
        <v>0.00569628508383258</v>
      </c>
      <c r="N16" s="114" t="n">
        <f aca="false">Unit_Cost!N$8/3600*Unit_Cost_Prod!N13</f>
        <v>0.00920252494764025</v>
      </c>
      <c r="O16" s="114" t="n">
        <f aca="false">Unit_Cost!O$8/3600*Unit_Cost_Prod!O13</f>
        <v>0.00352556777736313</v>
      </c>
      <c r="P16" s="114" t="n">
        <f aca="false">Unit_Cost!P$8/3600*Unit_Cost_Prod!P13</f>
        <v>0.00535837960987259</v>
      </c>
      <c r="Q16" s="114" t="n">
        <f aca="false">Unit_Cost!Q$8/3600*Unit_Cost_Prod!Q13</f>
        <v>0.00978194421983905</v>
      </c>
      <c r="S16" s="114" t="n">
        <f aca="false">Unit_Cost!C$8/3600*Unit_Cost_Prod!S13</f>
        <v>0.0386726342545921</v>
      </c>
      <c r="T16" s="114" t="n">
        <f aca="false">Unit_Cost!D$8/3600*Unit_Cost_Prod!T13</f>
        <v>0.0552554588066438</v>
      </c>
      <c r="U16" s="114" t="n">
        <f aca="false">Unit_Cost!E$8/3600*Unit_Cost_Prod!U13</f>
        <v>0.0948939461156487</v>
      </c>
      <c r="V16" s="114" t="n">
        <f aca="false">Unit_Cost!F$8/3600*Unit_Cost_Prod!V13</f>
        <v>0.00532884190613242</v>
      </c>
      <c r="W16" s="114" t="n">
        <f aca="false">Unit_Cost!G$8/3600*Unit_Cost_Prod!W13</f>
        <v>0.00711512490016412</v>
      </c>
      <c r="X16" s="114" t="n">
        <f aca="false">Unit_Cost!H$8/3600*Unit_Cost_Prod!X13</f>
        <v>0.0115401606113995</v>
      </c>
      <c r="Y16" s="114" t="n">
        <f aca="false">Unit_Cost!I$8/3600*Unit_Cost_Prod!Y13</f>
        <v>0.00466614812716556</v>
      </c>
      <c r="Z16" s="114" t="n">
        <f aca="false">Unit_Cost!J$8/3600*Unit_Cost_Prod!Z13</f>
        <v>0.00602660034017561</v>
      </c>
      <c r="AA16" s="114" t="n">
        <f aca="false">Unit_Cost!K$8/3600*Unit_Cost_Prod!AA13</f>
        <v>0.0102605809093624</v>
      </c>
      <c r="AB16" s="114" t="n">
        <f aca="false">Unit_Cost!L$8/3600*Unit_Cost_Prod!AB13</f>
        <v>0.00376721490486678</v>
      </c>
      <c r="AC16" s="114" t="n">
        <f aca="false">Unit_Cost!M$8/3600*Unit_Cost_Prod!AC13</f>
        <v>0.00484184232125769</v>
      </c>
      <c r="AD16" s="114" t="n">
        <f aca="false">Unit_Cost!N$8/3600*Unit_Cost_Prod!AD13</f>
        <v>0.00782214620549421</v>
      </c>
      <c r="AE16" s="114" t="n">
        <f aca="false">Unit_Cost!O$8/3600*Unit_Cost_Prod!AE13</f>
        <v>0.00299673261075866</v>
      </c>
      <c r="AF16" s="114" t="n">
        <f aca="false">Unit_Cost!P$8/3600*Unit_Cost_Prod!AF13</f>
        <v>0.0045546226683917</v>
      </c>
      <c r="AG16" s="114" t="n">
        <f aca="false">Unit_Cost!Q$8/3600*Unit_Cost_Prod!AG13</f>
        <v>0.00831465258686319</v>
      </c>
    </row>
    <row r="18" customFormat="false" ht="15" hidden="false" customHeight="false" outlineLevel="0" collapsed="false">
      <c r="A18" s="59" t="s">
        <v>848</v>
      </c>
      <c r="B18" s="56" t="s">
        <v>795</v>
      </c>
      <c r="C18" s="114" t="n">
        <f aca="false">IF(ISNUMBER(Unit_Cost_Prod!C15),Unit_Cost!C$8/3600*Unit_Cost_Prod!C15,"SLO 不可達")</f>
        <v>0.839958755792001</v>
      </c>
      <c r="D18" s="114" t="n">
        <f aca="false">IF(ISNUMBER(Unit_Cost_Prod!D15),Unit_Cost!D$8/3600*Unit_Cost_Prod!D15,"SLO 不可達")</f>
        <v>1.20013304820148</v>
      </c>
      <c r="E18" s="114" t="n">
        <f aca="false">IF(ISNUMBER(Unit_Cost_Prod!E15),Unit_Cost!E$8/3600*Unit_Cost_Prod!E15,"SLO 不可達")</f>
        <v>2.06106986110027</v>
      </c>
      <c r="F18" s="114" t="n">
        <f aca="false">IF(ISNUMBER(Unit_Cost_Prod!F15),Unit_Cost!F$8/3600*Unit_Cost_Prod!F15,"SLO 不可達")</f>
        <v>0.159943319788345</v>
      </c>
      <c r="G18" s="114" t="n">
        <f aca="false">IF(ISNUMBER(Unit_Cost_Prod!G15),Unit_Cost!G$8/3600*Unit_Cost_Prod!G15,"SLO 不可達")</f>
        <v>0.213557977002722</v>
      </c>
      <c r="H18" s="114" t="n">
        <f aca="false">IF(ISNUMBER(Unit_Cost_Prod!H15),Unit_Cost!H$8/3600*Unit_Cost_Prod!H15,"SLO 不可達")</f>
        <v>0.346373871019486</v>
      </c>
      <c r="I18" s="114" t="n">
        <f aca="false">IF(ISNUMBER(Unit_Cost_Prod!I15),Unit_Cost!I$8/3600*Unit_Cost_Prod!I15,"SLO 不可達")</f>
        <v>0.140052798568516</v>
      </c>
      <c r="J18" s="114" t="n">
        <f aca="false">IF(ISNUMBER(Unit_Cost_Prod!J15),Unit_Cost!J$8/3600*Unit_Cost_Prod!J15,"SLO 不可達")</f>
        <v>0.180886294325224</v>
      </c>
      <c r="K18" s="114" t="n">
        <f aca="false">IF(ISNUMBER(Unit_Cost_Prod!K15),Unit_Cost!K$8/3600*Unit_Cost_Prod!K15,"SLO 不可達")</f>
        <v>0.307967735299438</v>
      </c>
      <c r="L18" s="114" t="n">
        <f aca="false">IF(ISNUMBER(Unit_Cost_Prod!L15),Unit_Cost!L$8/3600*Unit_Cost_Prod!L15,"SLO 不可達")</f>
        <v>0.105290741718836</v>
      </c>
      <c r="M18" s="114" t="n">
        <f aca="false">IF(ISNUMBER(Unit_Cost_Prod!M15),Unit_Cost!M$8/3600*Unit_Cost_Prod!M15,"SLO 不可達")</f>
        <v>0.135325746516949</v>
      </c>
      <c r="N18" s="114" t="n">
        <f aca="false">IF(ISNUMBER(Unit_Cost_Prod!N15),Unit_Cost!N$8/3600*Unit_Cost_Prod!N15,"SLO 不可達")</f>
        <v>0.218622934079411</v>
      </c>
      <c r="O18" s="114" t="n">
        <f aca="false">IF(ISNUMBER(Unit_Cost_Prod!O15),Unit_Cost!O$8/3600*Unit_Cost_Prod!O15,"SLO 不可達")</f>
        <v>0.0822181312210071</v>
      </c>
      <c r="P18" s="114" t="n">
        <f aca="false">IF(ISNUMBER(Unit_Cost_Prod!P15),Unit_Cost!P$8/3600*Unit_Cost_Prod!P15,"SLO 不可達")</f>
        <v>0.124960286035396</v>
      </c>
      <c r="Q18" s="114" t="n">
        <f aca="false">IF(ISNUMBER(Unit_Cost_Prod!Q15),Unit_Cost!Q$8/3600*Unit_Cost_Prod!Q15,"SLO 不可達")</f>
        <v>0.228120184960625</v>
      </c>
      <c r="S18" s="114" t="n">
        <f aca="false">IF(ISNUMBER(Unit_Cost_Prod!S15),Unit_Cost!C$8/3600*Unit_Cost_Prod!S15,"SLO 不可達")</f>
        <v>0.515810502571941</v>
      </c>
      <c r="T18" s="114" t="n">
        <f aca="false">IF(ISNUMBER(Unit_Cost_Prod!T15),Unit_Cost!D$8/3600*Unit_Cost_Prod!T15,"SLO 不可達")</f>
        <v>0.736990032519282</v>
      </c>
      <c r="U18" s="114" t="n">
        <f aca="false">IF(ISNUMBER(Unit_Cost_Prod!U15),Unit_Cost!E$8/3600*Unit_Cost_Prod!U15,"SLO 不可達")</f>
        <v>1.26568295592989</v>
      </c>
      <c r="V18" s="114" t="n">
        <f aca="false">IF(ISNUMBER(Unit_Cost_Prod!V15),Unit_Cost!F$8/3600*Unit_Cost_Prod!V15,"SLO 不可達")</f>
        <v>0.121612196523219</v>
      </c>
      <c r="W18" s="114" t="n">
        <f aca="false">IF(ISNUMBER(Unit_Cost_Prod!W15),Unit_Cost!G$8/3600*Unit_Cost_Prod!W15,"SLO 不可達")</f>
        <v>0.162377864250437</v>
      </c>
      <c r="X18" s="114" t="n">
        <f aca="false">IF(ISNUMBER(Unit_Cost_Prod!X15),Unit_Cost!H$8/3600*Unit_Cost_Prod!X15,"SLO 不可達")</f>
        <v>0.263363842445387</v>
      </c>
      <c r="Y18" s="114" t="n">
        <f aca="false">IF(ISNUMBER(Unit_Cost_Prod!Y15),Unit_Cost!I$8/3600*Unit_Cost_Prod!Y15,"SLO 不可達")</f>
        <v>0.106488526596046</v>
      </c>
      <c r="Z18" s="114" t="n">
        <f aca="false">IF(ISNUMBER(Unit_Cost_Prod!Z15),Unit_Cost!J$8/3600*Unit_Cost_Prod!Z15,"SLO 不可達")</f>
        <v>0.137536094679954</v>
      </c>
      <c r="AA18" s="114" t="n">
        <f aca="false">IF(ISNUMBER(Unit_Cost_Prod!AA15),Unit_Cost!K$8/3600*Unit_Cost_Prod!AA15,"SLO 不可達")</f>
        <v>0.234161906840545</v>
      </c>
      <c r="AB18" s="114" t="n">
        <f aca="false">IF(ISNUMBER(Unit_Cost_Prod!AB15),Unit_Cost!L$8/3600*Unit_Cost_Prod!AB15,"SLO 不可達")</f>
        <v>0.0806426702715034</v>
      </c>
      <c r="AC18" s="114" t="n">
        <f aca="false">IF(ISNUMBER(Unit_Cost_Prod!AC15),Unit_Cost!M$8/3600*Unit_Cost_Prod!AC15,"SLO 不可達")</f>
        <v>0.103646620561882</v>
      </c>
      <c r="AD18" s="114" t="n">
        <f aca="false">IF(ISNUMBER(Unit_Cost_Prod!AD15),Unit_Cost!N$8/3600*Unit_Cost_Prod!AD15,"SLO 不可達")</f>
        <v>0.167444325103472</v>
      </c>
      <c r="AE18" s="114" t="n">
        <f aca="false">IF(ISNUMBER(Unit_Cost_Prod!AE15),Unit_Cost!O$8/3600*Unit_Cost_Prod!AE15,"SLO 不可達")</f>
        <v>0.0630858774448701</v>
      </c>
      <c r="AF18" s="114" t="n">
        <f aca="false">IF(ISNUMBER(Unit_Cost_Prod!AF15),Unit_Cost!P$8/3600*Unit_Cost_Prod!AF15,"SLO 不可達")</f>
        <v>0.0958818836336032</v>
      </c>
      <c r="AG18" s="114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59" t="s">
        <v>843</v>
      </c>
      <c r="B26" s="56" t="s">
        <v>781</v>
      </c>
      <c r="C26" s="96" t="n">
        <f aca="false">INDEX(Perf_Prod!$C$101:$Q$101,3*(Unit_Cost!C$6-1)+2)</f>
        <v>526.544349980357</v>
      </c>
      <c r="D26" s="96" t="n">
        <f aca="false">INDEX(Perf_Prod!$C$101:$Q$101,3*(Unit_Cost!D$6-1)+2)</f>
        <v>526.544349980357</v>
      </c>
      <c r="E26" s="96" t="n">
        <f aca="false">INDEX(Perf_Prod!$C$101:$Q$101,3*(Unit_Cost!E$6-1)+2)</f>
        <v>526.544349980357</v>
      </c>
      <c r="F26" s="96" t="n">
        <f aca="false">INDEX(Perf_Prod!$C$101:$Q$101,3*(Unit_Cost!F$6-1)+2)</f>
        <v>52.0752362130573</v>
      </c>
      <c r="G26" s="96" t="n">
        <f aca="false">INDEX(Perf_Prod!$C$101:$Q$101,3*(Unit_Cost!G$6-1)+2)</f>
        <v>52.0752362130573</v>
      </c>
      <c r="H26" s="96" t="n">
        <f aca="false">INDEX(Perf_Prod!$C$101:$Q$101,3*(Unit_Cost!H$6-1)+2)</f>
        <v>52.0752362130573</v>
      </c>
      <c r="I26" s="96" t="n">
        <f aca="false">INDEX(Perf_Prod!$C$101:$Q$101,3*(Unit_Cost!I$6-1)+2)</f>
        <v>34.7168241420382</v>
      </c>
      <c r="J26" s="96" t="n">
        <f aca="false">INDEX(Perf_Prod!$C$101:$Q$101,3*(Unit_Cost!J$6-1)+2)</f>
        <v>34.7168241420382</v>
      </c>
      <c r="K26" s="96" t="n">
        <f aca="false">INDEX(Perf_Prod!$C$101:$Q$101,3*(Unit_Cost!K$6-1)+2)</f>
        <v>34.7168241420382</v>
      </c>
      <c r="L26" s="96" t="n">
        <f aca="false">INDEX(Perf_Prod!$C$101:$Q$101,3*(Unit_Cost!L$6-1)+2)</f>
        <v>14.8786389180164</v>
      </c>
      <c r="M26" s="96" t="n">
        <f aca="false">INDEX(Perf_Prod!$C$101:$Q$101,3*(Unit_Cost!M$6-1)+2)</f>
        <v>14.8786389180164</v>
      </c>
      <c r="N26" s="96" t="n">
        <f aca="false">INDEX(Perf_Prod!$C$101:$Q$101,3*(Unit_Cost!N$6-1)+2)</f>
        <v>14.8786389180164</v>
      </c>
      <c r="O26" s="96" t="n">
        <f aca="false">INDEX(Perf_Prod!$C$101:$Q$101,3*(Unit_Cost!O$6-1)+2)</f>
        <v>7.43931945900818</v>
      </c>
      <c r="P26" s="96" t="n">
        <f aca="false">INDEX(Perf_Prod!$C$101:$Q$101,3*(Unit_Cost!P$6-1)+2)</f>
        <v>7.43931945900818</v>
      </c>
      <c r="Q26" s="96" t="n">
        <f aca="false">INDEX(Perf_Prod!$C$101:$Q$101,3*(Unit_Cost!Q$6-1)+2)</f>
        <v>7.43931945900818</v>
      </c>
      <c r="S26" s="96" t="n">
        <f aca="false">INDEX(Perf_Prod!$S$101:$AG$101,3*(Unit_Cost!C$6-1)+2)</f>
        <v>447.562697483303</v>
      </c>
      <c r="T26" s="96" t="n">
        <f aca="false">INDEX(Perf_Prod!$S$101:$AG$101,3*(Unit_Cost!D$6-1)+2)</f>
        <v>447.562697483303</v>
      </c>
      <c r="U26" s="96" t="n">
        <f aca="false">INDEX(Perf_Prod!$S$101:$AG$101,3*(Unit_Cost!E$6-1)+2)</f>
        <v>447.562697483303</v>
      </c>
      <c r="V26" s="96" t="n">
        <f aca="false">INDEX(Perf_Prod!$S$101:$AG$101,3*(Unit_Cost!F$6-1)+2)</f>
        <v>44.2639507810987</v>
      </c>
      <c r="W26" s="96" t="n">
        <f aca="false">INDEX(Perf_Prod!$S$101:$AG$101,3*(Unit_Cost!G$6-1)+2)</f>
        <v>44.2639507810987</v>
      </c>
      <c r="X26" s="96" t="n">
        <f aca="false">INDEX(Perf_Prod!$S$101:$AG$101,3*(Unit_Cost!H$6-1)+2)</f>
        <v>44.2639507810987</v>
      </c>
      <c r="Y26" s="96" t="n">
        <f aca="false">INDEX(Perf_Prod!$S$101:$AG$101,3*(Unit_Cost!I$6-1)+2)</f>
        <v>29.5093005207324</v>
      </c>
      <c r="Z26" s="96" t="n">
        <f aca="false">INDEX(Perf_Prod!$S$101:$AG$101,3*(Unit_Cost!J$6-1)+2)</f>
        <v>29.5093005207324</v>
      </c>
      <c r="AA26" s="96" t="n">
        <f aca="false">INDEX(Perf_Prod!$S$101:$AG$101,3*(Unit_Cost!K$6-1)+2)</f>
        <v>29.5093005207324</v>
      </c>
      <c r="AB26" s="96" t="n">
        <f aca="false">INDEX(Perf_Prod!$S$101:$AG$101,3*(Unit_Cost!L$6-1)+2)</f>
        <v>12.6468430803139</v>
      </c>
      <c r="AC26" s="96" t="n">
        <f aca="false">INDEX(Perf_Prod!$S$101:$AG$101,3*(Unit_Cost!M$6-1)+2)</f>
        <v>12.6468430803139</v>
      </c>
      <c r="AD26" s="96" t="n">
        <f aca="false">INDEX(Perf_Prod!$S$101:$AG$101,3*(Unit_Cost!N$6-1)+2)</f>
        <v>12.6468430803139</v>
      </c>
      <c r="AE26" s="96" t="n">
        <f aca="false">INDEX(Perf_Prod!$S$101:$AG$101,3*(Unit_Cost!O$6-1)+2)</f>
        <v>6.32342154015695</v>
      </c>
      <c r="AF26" s="96" t="n">
        <f aca="false">INDEX(Perf_Prod!$S$101:$AG$101,3*(Unit_Cost!P$6-1)+2)</f>
        <v>6.32342154015695</v>
      </c>
      <c r="AG26" s="96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9" t="s">
        <v>845</v>
      </c>
      <c r="B28" s="56" t="s">
        <v>781</v>
      </c>
      <c r="C28" s="96" t="n">
        <f aca="false">INDEX(Perf_Prod!$C$103:$Q$103,3*(Unit_Cost!C$6-1)+2)</f>
        <v>8773.0263302899</v>
      </c>
      <c r="D28" s="96" t="n">
        <f aca="false">INDEX(Perf_Prod!$C$103:$Q$103,3*(Unit_Cost!D$6-1)+2)</f>
        <v>8773.0263302899</v>
      </c>
      <c r="E28" s="96" t="n">
        <f aca="false">INDEX(Perf_Prod!$C$103:$Q$103,3*(Unit_Cost!E$6-1)+2)</f>
        <v>8773.0263302899</v>
      </c>
      <c r="F28" s="96" t="n">
        <f aca="false">INDEX(Perf_Prod!$C$103:$Q$103,3*(Unit_Cost!F$6-1)+2)</f>
        <v>1296.70484155172</v>
      </c>
      <c r="G28" s="96" t="n">
        <f aca="false">INDEX(Perf_Prod!$C$103:$Q$103,3*(Unit_Cost!G$6-1)+2)</f>
        <v>1296.70484155172</v>
      </c>
      <c r="H28" s="96" t="n">
        <f aca="false">INDEX(Perf_Prod!$C$103:$Q$103,3*(Unit_Cost!H$6-1)+2)</f>
        <v>1296.70484155172</v>
      </c>
      <c r="I28" s="96" t="n">
        <f aca="false">INDEX(Perf_Prod!$C$103:$Q$103,3*(Unit_Cost!I$6-1)+2)</f>
        <v>864.469894367812</v>
      </c>
      <c r="J28" s="96" t="n">
        <f aca="false">INDEX(Perf_Prod!$C$103:$Q$103,3*(Unit_Cost!J$6-1)+2)</f>
        <v>864.469894367812</v>
      </c>
      <c r="K28" s="96" t="n">
        <f aca="false">INDEX(Perf_Prod!$C$103:$Q$103,3*(Unit_Cost!K$6-1)+2)</f>
        <v>864.469894367812</v>
      </c>
      <c r="L28" s="96" t="n">
        <f aca="false">INDEX(Perf_Prod!$C$103:$Q$103,3*(Unit_Cost!L$6-1)+2)</f>
        <v>313.042470405803</v>
      </c>
      <c r="M28" s="96" t="n">
        <f aca="false">INDEX(Perf_Prod!$C$103:$Q$103,3*(Unit_Cost!M$6-1)+2)</f>
        <v>313.042470405803</v>
      </c>
      <c r="N28" s="96" t="n">
        <f aca="false">INDEX(Perf_Prod!$C$103:$Q$103,3*(Unit_Cost!N$6-1)+2)</f>
        <v>313.042470405803</v>
      </c>
      <c r="O28" s="96" t="n">
        <f aca="false">INDEX(Perf_Prod!$C$103:$Q$103,3*(Unit_Cost!O$6-1)+2)</f>
        <v>149.739492131963</v>
      </c>
      <c r="P28" s="96" t="n">
        <f aca="false">INDEX(Perf_Prod!$C$103:$Q$103,3*(Unit_Cost!P$6-1)+2)</f>
        <v>149.739492131963</v>
      </c>
      <c r="Q28" s="96" t="n">
        <f aca="false">INDEX(Perf_Prod!$C$103:$Q$103,3*(Unit_Cost!Q$6-1)+2)</f>
        <v>149.739492131963</v>
      </c>
      <c r="S28" s="96" t="n">
        <f aca="false">INDEX(Perf_Prod!$S$103:$AG$103,3*(Unit_Cost!C$6-1)+2)</f>
        <v>5902.75485265774</v>
      </c>
      <c r="T28" s="96" t="n">
        <f aca="false">INDEX(Perf_Prod!$S$103:$AG$103,3*(Unit_Cost!D$6-1)+2)</f>
        <v>5902.75485265774</v>
      </c>
      <c r="U28" s="96" t="n">
        <f aca="false">INDEX(Perf_Prod!$S$103:$AG$103,3*(Unit_Cost!E$6-1)+2)</f>
        <v>5902.75485265774</v>
      </c>
      <c r="V28" s="96" t="n">
        <f aca="false">INDEX(Perf_Prod!$S$103:$AG$103,3*(Unit_Cost!F$6-1)+2)</f>
        <v>1013.60270124925</v>
      </c>
      <c r="W28" s="96" t="n">
        <f aca="false">INDEX(Perf_Prod!$S$103:$AG$103,3*(Unit_Cost!G$6-1)+2)</f>
        <v>1013.60270124925</v>
      </c>
      <c r="X28" s="96" t="n">
        <f aca="false">INDEX(Perf_Prod!$S$103:$AG$103,3*(Unit_Cost!H$6-1)+2)</f>
        <v>1013.60270124925</v>
      </c>
      <c r="Y28" s="96" t="n">
        <f aca="false">INDEX(Perf_Prod!$S$103:$AG$103,3*(Unit_Cost!I$6-1)+2)</f>
        <v>675.735134166168</v>
      </c>
      <c r="Z28" s="96" t="n">
        <f aca="false">INDEX(Perf_Prod!$S$103:$AG$103,3*(Unit_Cost!J$6-1)+2)</f>
        <v>675.735134166168</v>
      </c>
      <c r="AA28" s="96" t="n">
        <f aca="false">INDEX(Perf_Prod!$S$103:$AG$103,3*(Unit_Cost!K$6-1)+2)</f>
        <v>675.735134166168</v>
      </c>
      <c r="AB28" s="96" t="n">
        <f aca="false">INDEX(Perf_Prod!$S$103:$AG$103,3*(Unit_Cost!L$6-1)+2)</f>
        <v>247.785926826261</v>
      </c>
      <c r="AC28" s="96" t="n">
        <f aca="false">INDEX(Perf_Prod!$S$103:$AG$103,3*(Unit_Cost!M$6-1)+2)</f>
        <v>247.785926826261</v>
      </c>
      <c r="AD28" s="96" t="n">
        <f aca="false">INDEX(Perf_Prod!$S$103:$AG$103,3*(Unit_Cost!N$6-1)+2)</f>
        <v>247.785926826261</v>
      </c>
      <c r="AE28" s="96" t="n">
        <f aca="false">INDEX(Perf_Prod!$S$103:$AG$103,3*(Unit_Cost!O$6-1)+2)</f>
        <v>118.879183801455</v>
      </c>
      <c r="AF28" s="96" t="n">
        <f aca="false">INDEX(Perf_Prod!$S$103:$AG$103,3*(Unit_Cost!P$6-1)+2)</f>
        <v>118.879183801455</v>
      </c>
      <c r="AG28" s="96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846</v>
      </c>
      <c r="B29" s="56" t="s">
        <v>795</v>
      </c>
      <c r="C29" s="114" t="n">
        <f aca="false">Unit_Cost!C$8/3600*Unit_Cost_Prod!C26</f>
        <v>0.157911361420697</v>
      </c>
      <c r="D29" s="114" t="n">
        <f aca="false">Unit_Cost!D$8/3600*Unit_Cost_Prod!D26</f>
        <v>0.225623749047979</v>
      </c>
      <c r="E29" s="114" t="n">
        <f aca="false">Unit_Cost!E$8/3600*Unit_Cost_Prod!E26</f>
        <v>0.38747896311007</v>
      </c>
      <c r="F29" s="114" t="n">
        <f aca="false">Unit_Cost!F$8/3600*Unit_Cost_Prod!F26</f>
        <v>0.0217591766481</v>
      </c>
      <c r="G29" s="114" t="n">
        <f aca="false">Unit_Cost!G$8/3600*Unit_Cost_Prod!G26</f>
        <v>0.0290530780051478</v>
      </c>
      <c r="H29" s="114" t="n">
        <f aca="false">Unit_Cost!H$8/3600*Unit_Cost_Prod!H26</f>
        <v>0.0471217569809901</v>
      </c>
      <c r="I29" s="114" t="n">
        <f aca="false">Unit_Cost!I$8/3600*Unit_Cost_Prod!I26</f>
        <v>0.0190532095253856</v>
      </c>
      <c r="J29" s="114" t="n">
        <f aca="false">Unit_Cost!J$8/3600*Unit_Cost_Prod!J26</f>
        <v>0.0246083227273963</v>
      </c>
      <c r="K29" s="114" t="n">
        <f aca="false">Unit_Cost!K$8/3600*Unit_Cost_Prod!K26</f>
        <v>0.0418968692356981</v>
      </c>
      <c r="L29" s="114" t="n">
        <f aca="false">Unit_Cost!L$8/3600*Unit_Cost_Prod!L26</f>
        <v>0.0153826095857749</v>
      </c>
      <c r="M29" s="114" t="n">
        <f aca="false">Unit_Cost!M$8/3600*Unit_Cost_Prod!M26</f>
        <v>0.0197706188748536</v>
      </c>
      <c r="N29" s="114" t="n">
        <f aca="false">Unit_Cost!N$8/3600*Unit_Cost_Prod!N26</f>
        <v>0.0319400470216134</v>
      </c>
      <c r="O29" s="114" t="n">
        <f aca="false">Unit_Cost!O$8/3600*Unit_Cost_Prod!O26</f>
        <v>0.0122365113083164</v>
      </c>
      <c r="P29" s="114" t="n">
        <f aca="false">Unit_Cost!P$8/3600*Unit_Cost_Prod!P26</f>
        <v>0.0185978193672674</v>
      </c>
      <c r="Q29" s="114" t="n">
        <f aca="false">Unit_Cost!Q$8/3600*Unit_Cost_Prod!Q26</f>
        <v>0.0339510906106888</v>
      </c>
      <c r="S29" s="114" t="n">
        <f aca="false">Unit_Cost!C$8/3600*Unit_Cost_Prod!S26</f>
        <v>0.134224657207592</v>
      </c>
      <c r="T29" s="114" t="n">
        <f aca="false">Unit_Cost!D$8/3600*Unit_Cost_Prod!T26</f>
        <v>0.191780186690782</v>
      </c>
      <c r="U29" s="114" t="n">
        <f aca="false">Unit_Cost!E$8/3600*Unit_Cost_Prod!U26</f>
        <v>0.32935711864356</v>
      </c>
      <c r="V29" s="114" t="n">
        <f aca="false">Unit_Cost!F$8/3600*Unit_Cost_Prod!V26</f>
        <v>0.018495300150885</v>
      </c>
      <c r="W29" s="114" t="n">
        <f aca="false">Unit_Cost!G$8/3600*Unit_Cost_Prod!W26</f>
        <v>0.0246951163043756</v>
      </c>
      <c r="X29" s="114" t="n">
        <f aca="false">Unit_Cost!H$8/3600*Unit_Cost_Prod!X26</f>
        <v>0.0400534934338416</v>
      </c>
      <c r="Y29" s="114" t="n">
        <f aca="false">Unit_Cost!I$8/3600*Unit_Cost_Prod!Y26</f>
        <v>0.0161952280965778</v>
      </c>
      <c r="Z29" s="114" t="n">
        <f aca="false">Unit_Cost!J$8/3600*Unit_Cost_Prod!Z26</f>
        <v>0.0209170743182869</v>
      </c>
      <c r="AA29" s="114" t="n">
        <f aca="false">Unit_Cost!K$8/3600*Unit_Cost_Prod!AA26</f>
        <v>0.0356123388503434</v>
      </c>
      <c r="AB29" s="114" t="n">
        <f aca="false">Unit_Cost!L$8/3600*Unit_Cost_Prod!AB26</f>
        <v>0.0130752181479087</v>
      </c>
      <c r="AC29" s="114" t="n">
        <f aca="false">Unit_Cost!M$8/3600*Unit_Cost_Prod!AC26</f>
        <v>0.0168050260436256</v>
      </c>
      <c r="AD29" s="114" t="n">
        <f aca="false">Unit_Cost!N$8/3600*Unit_Cost_Prod!AD26</f>
        <v>0.0271490399683714</v>
      </c>
      <c r="AE29" s="114" t="n">
        <f aca="false">Unit_Cost!O$8/3600*Unit_Cost_Prod!AE26</f>
        <v>0.0104010346120689</v>
      </c>
      <c r="AF29" s="114" t="n">
        <f aca="false">Unit_Cost!P$8/3600*Unit_Cost_Prod!AF26</f>
        <v>0.0158081464621773</v>
      </c>
      <c r="AG29" s="114" t="n">
        <f aca="false">Unit_Cost!Q$8/3600*Unit_Cost_Prod!AG26</f>
        <v>0.0288584270190855</v>
      </c>
    </row>
    <row r="31" customFormat="false" ht="15" hidden="false" customHeight="false" outlineLevel="0" collapsed="false">
      <c r="A31" s="59" t="s">
        <v>848</v>
      </c>
      <c r="B31" s="56" t="s">
        <v>795</v>
      </c>
      <c r="C31" s="114" t="n">
        <f aca="false">IF(ISNUMBER(Unit_Cost_Prod!C28),Unit_Cost!C$8/3600*Unit_Cost_Prod!C28,"SLO 不可達")</f>
        <v>2.6310424404846</v>
      </c>
      <c r="D31" s="114" t="n">
        <f aca="false">IF(ISNUMBER(Unit_Cost_Prod!D28),Unit_Cost!D$8/3600*Unit_Cost_Prod!D28,"SLO 不可達")</f>
        <v>3.75923336982057</v>
      </c>
      <c r="E31" s="114" t="n">
        <f aca="false">IF(ISNUMBER(Unit_Cost_Prod!E28),Unit_Cost!E$8/3600*Unit_Cost_Prod!E28,"SLO 不可達")</f>
        <v>6.45598636833705</v>
      </c>
      <c r="F31" s="114" t="n">
        <f aca="false">IF(ISNUMBER(Unit_Cost_Prod!F28),Unit_Cost!F$8/3600*Unit_Cost_Prod!F28,"SLO 不可達")</f>
        <v>0.541816643756206</v>
      </c>
      <c r="G31" s="114" t="n">
        <f aca="false">IF(ISNUMBER(Unit_Cost_Prod!G28),Unit_Cost!G$8/3600*Unit_Cost_Prod!G28,"SLO 不可達")</f>
        <v>0.723439193960079</v>
      </c>
      <c r="H31" s="114" t="n">
        <f aca="false">IF(ISNUMBER(Unit_Cost_Prod!H28),Unit_Cost!H$8/3600*Unit_Cost_Prod!H28,"SLO 不可達")</f>
        <v>1.17336021616264</v>
      </c>
      <c r="I31" s="114" t="n">
        <f aca="false">IF(ISNUMBER(Unit_Cost_Prod!I28),Unit_Cost!I$8/3600*Unit_Cost_Prod!I28,"SLO 不可達")</f>
        <v>0.474436427663711</v>
      </c>
      <c r="J31" s="114" t="n">
        <f aca="false">IF(ISNUMBER(Unit_Cost_Prod!J28),Unit_Cost!J$8/3600*Unit_Cost_Prod!J28,"SLO 不可達")</f>
        <v>0.612762102365289</v>
      </c>
      <c r="K31" s="114" t="n">
        <f aca="false">IF(ISNUMBER(Unit_Cost_Prod!K28),Unit_Cost!K$8/3600*Unit_Cost_Prod!K28,"SLO 不可達")</f>
        <v>1.04325735483014</v>
      </c>
      <c r="L31" s="114" t="n">
        <f aca="false">IF(ISNUMBER(Unit_Cost_Prod!L28),Unit_Cost!L$8/3600*Unit_Cost_Prod!L28,"SLO 不可達")</f>
        <v>0.323645874636291</v>
      </c>
      <c r="M31" s="114" t="n">
        <f aca="false">IF(ISNUMBER(Unit_Cost_Prod!M28),Unit_Cost!M$8/3600*Unit_Cost_Prod!M28,"SLO 不可達")</f>
        <v>0.415968383138967</v>
      </c>
      <c r="N31" s="114" t="n">
        <f aca="false">IF(ISNUMBER(Unit_Cost_Prod!N28),Unit_Cost!N$8/3600*Unit_Cost_Prod!N28,"SLO 不可達")</f>
        <v>0.672009804096812</v>
      </c>
      <c r="O31" s="114" t="n">
        <f aca="false">IF(ISNUMBER(Unit_Cost_Prod!O28),Unit_Cost!O$8/3600*Unit_Cost_Prod!O28,"SLO 不可達")</f>
        <v>0.24629793072747</v>
      </c>
      <c r="P31" s="114" t="n">
        <f aca="false">IF(ISNUMBER(Unit_Cost_Prod!P28),Unit_Cost!P$8/3600*Unit_Cost_Prod!P28,"SLO 不可達")</f>
        <v>0.37433908332092</v>
      </c>
      <c r="Q31" s="114" t="n">
        <f aca="false">IF(ISNUMBER(Unit_Cost_Prod!Q28),Unit_Cost!Q$8/3600*Unit_Cost_Prod!Q28,"SLO 不可達")</f>
        <v>0.683371522540933</v>
      </c>
      <c r="S31" s="114" t="n">
        <f aca="false">IF(ISNUMBER(Unit_Cost_Prod!S28),Unit_Cost!C$8/3600*Unit_Cost_Prod!S28,"SLO 不可達")</f>
        <v>1.7702441493306</v>
      </c>
      <c r="T31" s="114" t="n">
        <f aca="false">IF(ISNUMBER(Unit_Cost_Prod!T28),Unit_Cost!D$8/3600*Unit_Cost_Prod!T28,"SLO 不可達")</f>
        <v>2.52932479404151</v>
      </c>
      <c r="U31" s="114" t="n">
        <f aca="false">IF(ISNUMBER(Unit_Cost_Prod!U28),Unit_Cost!E$8/3600*Unit_Cost_Prod!U28,"SLO 不可達")</f>
        <v>4.34378097473856</v>
      </c>
      <c r="V31" s="114" t="n">
        <f aca="false">IF(ISNUMBER(Unit_Cost_Prod!V28),Unit_Cost!F$8/3600*Unit_Cost_Prod!V28,"SLO 不可達")</f>
        <v>0.423524919545995</v>
      </c>
      <c r="W31" s="114" t="n">
        <f aca="false">IF(ISNUMBER(Unit_Cost_Prod!W28),Unit_Cost!G$8/3600*Unit_Cost_Prod!W28,"SLO 不可達")</f>
        <v>0.565494858729786</v>
      </c>
      <c r="X31" s="114" t="n">
        <f aca="false">IF(ISNUMBER(Unit_Cost_Prod!X28),Unit_Cost!H$8/3600*Unit_Cost_Prod!X28,"SLO 不可達")</f>
        <v>0.917187201381651</v>
      </c>
      <c r="Y31" s="114" t="n">
        <f aca="false">IF(ISNUMBER(Unit_Cost_Prod!Y28),Unit_Cost!I$8/3600*Unit_Cost_Prod!Y28,"SLO 不可達")</f>
        <v>0.37085544006724</v>
      </c>
      <c r="Z31" s="114" t="n">
        <f aca="false">IF(ISNUMBER(Unit_Cost_Prod!Z28),Unit_Cost!J$8/3600*Unit_Cost_Prod!Z28,"SLO 不可達")</f>
        <v>0.478981262565029</v>
      </c>
      <c r="AA31" s="114" t="n">
        <f aca="false">IF(ISNUMBER(Unit_Cost_Prod!AA28),Unit_Cost!K$8/3600*Unit_Cost_Prod!AA28,"SLO 不可達")</f>
        <v>0.815488952511794</v>
      </c>
      <c r="AB31" s="114" t="n">
        <f aca="false">IF(ISNUMBER(Unit_Cost_Prod!AB28),Unit_Cost!L$8/3600*Unit_Cost_Prod!AB28,"SLO 不可達")</f>
        <v>0.256178955227036</v>
      </c>
      <c r="AC31" s="114" t="n">
        <f aca="false">IF(ISNUMBER(Unit_Cost_Prod!AC28),Unit_Cost!M$8/3600*Unit_Cost_Prod!AC28,"SLO 不可達")</f>
        <v>0.329255999075451</v>
      </c>
      <c r="AD31" s="114" t="n">
        <f aca="false">IF(ISNUMBER(Unit_Cost_Prod!AD28),Unit_Cost!N$8/3600*Unit_Cost_Prod!AD28,"SLO 不可達")</f>
        <v>0.531923262452556</v>
      </c>
      <c r="AE31" s="114" t="n">
        <f aca="false">IF(ISNUMBER(Unit_Cost_Prod!AE28),Unit_Cost!O$8/3600*Unit_Cost_Prod!AE28,"SLO 不可達")</f>
        <v>0.195537573688745</v>
      </c>
      <c r="AF31" s="114" t="n">
        <f aca="false">IF(ISNUMBER(Unit_Cost_Prod!AF28),Unit_Cost!P$8/3600*Unit_Cost_Prod!AF28,"SLO 不可達")</f>
        <v>0.297190300678713</v>
      </c>
      <c r="AG31" s="114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59" t="s">
        <v>843</v>
      </c>
      <c r="B39" s="56" t="s">
        <v>781</v>
      </c>
      <c r="C39" s="96" t="n">
        <f aca="false">INDEX(Perf_Prod!$C$101:$Q$101,3*(Unit_Cost!C$6-1)+3)</f>
        <v>1746.78576815559</v>
      </c>
      <c r="D39" s="96" t="n">
        <f aca="false">INDEX(Perf_Prod!$C$101:$Q$101,3*(Unit_Cost!D$6-1)+3)</f>
        <v>1746.78576815559</v>
      </c>
      <c r="E39" s="96" t="n">
        <f aca="false">INDEX(Perf_Prod!$C$101:$Q$101,3*(Unit_Cost!E$6-1)+3)</f>
        <v>1746.78576815559</v>
      </c>
      <c r="F39" s="96" t="n">
        <f aca="false">INDEX(Perf_Prod!$C$101:$Q$101,3*(Unit_Cost!F$6-1)+3)</f>
        <v>172.757112470588</v>
      </c>
      <c r="G39" s="96" t="n">
        <f aca="false">INDEX(Perf_Prod!$C$101:$Q$101,3*(Unit_Cost!G$6-1)+3)</f>
        <v>172.757112470588</v>
      </c>
      <c r="H39" s="96" t="n">
        <f aca="false">INDEX(Perf_Prod!$C$101:$Q$101,3*(Unit_Cost!H$6-1)+3)</f>
        <v>172.757112470588</v>
      </c>
      <c r="I39" s="96" t="n">
        <f aca="false">INDEX(Perf_Prod!$C$101:$Q$101,3*(Unit_Cost!I$6-1)+3)</f>
        <v>115.171408313725</v>
      </c>
      <c r="J39" s="96" t="n">
        <f aca="false">INDEX(Perf_Prod!$C$101:$Q$101,3*(Unit_Cost!J$6-1)+3)</f>
        <v>115.171408313725</v>
      </c>
      <c r="K39" s="96" t="n">
        <f aca="false">INDEX(Perf_Prod!$C$101:$Q$101,3*(Unit_Cost!K$6-1)+3)</f>
        <v>115.171408313725</v>
      </c>
      <c r="L39" s="96" t="n">
        <f aca="false">INDEX(Perf_Prod!$C$101:$Q$101,3*(Unit_Cost!L$6-1)+3)</f>
        <v>49.3591749915966</v>
      </c>
      <c r="M39" s="96" t="n">
        <f aca="false">INDEX(Perf_Prod!$C$101:$Q$101,3*(Unit_Cost!M$6-1)+3)</f>
        <v>49.3591749915966</v>
      </c>
      <c r="N39" s="96" t="n">
        <f aca="false">INDEX(Perf_Prod!$C$101:$Q$101,3*(Unit_Cost!N$6-1)+3)</f>
        <v>49.3591749915966</v>
      </c>
      <c r="O39" s="96" t="n">
        <f aca="false">INDEX(Perf_Prod!$C$101:$Q$101,3*(Unit_Cost!O$6-1)+3)</f>
        <v>24.6795874957983</v>
      </c>
      <c r="P39" s="96" t="n">
        <f aca="false">INDEX(Perf_Prod!$C$101:$Q$101,3*(Unit_Cost!P$6-1)+3)</f>
        <v>24.6795874957983</v>
      </c>
      <c r="Q39" s="96" t="n">
        <f aca="false">INDEX(Perf_Prod!$C$101:$Q$101,3*(Unit_Cost!Q$6-1)+3)</f>
        <v>24.6795874957983</v>
      </c>
      <c r="S39" s="96" t="n">
        <f aca="false">INDEX(Perf_Prod!$S$101:$AG$101,3*(Unit_Cost!C$6-1)+3)</f>
        <v>1484.76790293225</v>
      </c>
      <c r="T39" s="96" t="n">
        <f aca="false">INDEX(Perf_Prod!$S$101:$AG$101,3*(Unit_Cost!D$6-1)+3)</f>
        <v>1484.76790293225</v>
      </c>
      <c r="U39" s="96" t="n">
        <f aca="false">INDEX(Perf_Prod!$S$101:$AG$101,3*(Unit_Cost!E$6-1)+3)</f>
        <v>1484.76790293225</v>
      </c>
      <c r="V39" s="96" t="n">
        <f aca="false">INDEX(Perf_Prod!$S$101:$AG$101,3*(Unit_Cost!F$6-1)+3)</f>
        <v>146.8435456</v>
      </c>
      <c r="W39" s="96" t="n">
        <f aca="false">INDEX(Perf_Prod!$S$101:$AG$101,3*(Unit_Cost!G$6-1)+3)</f>
        <v>146.8435456</v>
      </c>
      <c r="X39" s="96" t="n">
        <f aca="false">INDEX(Perf_Prod!$S$101:$AG$101,3*(Unit_Cost!H$6-1)+3)</f>
        <v>146.8435456</v>
      </c>
      <c r="Y39" s="96" t="n">
        <f aca="false">INDEX(Perf_Prod!$S$101:$AG$101,3*(Unit_Cost!I$6-1)+3)</f>
        <v>97.8956970666667</v>
      </c>
      <c r="Z39" s="96" t="n">
        <f aca="false">INDEX(Perf_Prod!$S$101:$AG$101,3*(Unit_Cost!J$6-1)+3)</f>
        <v>97.8956970666667</v>
      </c>
      <c r="AA39" s="96" t="n">
        <f aca="false">INDEX(Perf_Prod!$S$101:$AG$101,3*(Unit_Cost!K$6-1)+3)</f>
        <v>97.8956970666667</v>
      </c>
      <c r="AB39" s="96" t="n">
        <f aca="false">INDEX(Perf_Prod!$S$101:$AG$101,3*(Unit_Cost!L$6-1)+3)</f>
        <v>41.9552987428571</v>
      </c>
      <c r="AC39" s="96" t="n">
        <f aca="false">INDEX(Perf_Prod!$S$101:$AG$101,3*(Unit_Cost!M$6-1)+3)</f>
        <v>41.9552987428571</v>
      </c>
      <c r="AD39" s="96" t="n">
        <f aca="false">INDEX(Perf_Prod!$S$101:$AG$101,3*(Unit_Cost!N$6-1)+3)</f>
        <v>41.9552987428571</v>
      </c>
      <c r="AE39" s="96" t="n">
        <f aca="false">INDEX(Perf_Prod!$S$101:$AG$101,3*(Unit_Cost!O$6-1)+3)</f>
        <v>20.9776493714286</v>
      </c>
      <c r="AF39" s="96" t="n">
        <f aca="false">INDEX(Perf_Prod!$S$101:$AG$101,3*(Unit_Cost!P$6-1)+3)</f>
        <v>20.9776493714286</v>
      </c>
      <c r="AG39" s="96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9" t="s">
        <v>845</v>
      </c>
      <c r="B41" s="56" t="s">
        <v>781</v>
      </c>
      <c r="C41" s="96" t="n">
        <f aca="false">INDEX(Perf_Prod!$C$103:$Q$103,3*(Unit_Cost!C$6-1)+3)</f>
        <v>94134.2452671669</v>
      </c>
      <c r="D41" s="96" t="n">
        <f aca="false">INDEX(Perf_Prod!$C$103:$Q$103,3*(Unit_Cost!D$6-1)+3)</f>
        <v>94134.2452671669</v>
      </c>
      <c r="E41" s="96" t="n">
        <f aca="false">INDEX(Perf_Prod!$C$103:$Q$103,3*(Unit_Cost!E$6-1)+3)</f>
        <v>94134.2452671669</v>
      </c>
      <c r="F41" s="96" t="n">
        <f aca="false">INDEX(Perf_Prod!$C$103:$Q$103,3*(Unit_Cost!F$6-1)+3)</f>
        <v>8315.20255430959</v>
      </c>
      <c r="G41" s="96" t="n">
        <f aca="false">INDEX(Perf_Prod!$C$103:$Q$103,3*(Unit_Cost!G$6-1)+3)</f>
        <v>8315.20255430959</v>
      </c>
      <c r="H41" s="96" t="n">
        <f aca="false">INDEX(Perf_Prod!$C$103:$Q$103,3*(Unit_Cost!H$6-1)+3)</f>
        <v>8315.20255430959</v>
      </c>
      <c r="I41" s="96" t="n">
        <f aca="false">INDEX(Perf_Prod!$C$103:$Q$103,3*(Unit_Cost!I$6-1)+3)</f>
        <v>7237.51745304007</v>
      </c>
      <c r="J41" s="96" t="n">
        <f aca="false">INDEX(Perf_Prod!$C$103:$Q$103,3*(Unit_Cost!J$6-1)+3)</f>
        <v>7237.51745304007</v>
      </c>
      <c r="K41" s="96" t="n">
        <f aca="false">INDEX(Perf_Prod!$C$103:$Q$103,3*(Unit_Cost!K$6-1)+3)</f>
        <v>7237.51745304007</v>
      </c>
      <c r="L41" s="96" t="n">
        <f aca="false">INDEX(Perf_Prod!$C$103:$Q$103,3*(Unit_Cost!L$6-1)+3)</f>
        <v>1718.16080972775</v>
      </c>
      <c r="M41" s="96" t="n">
        <f aca="false">INDEX(Perf_Prod!$C$103:$Q$103,3*(Unit_Cost!M$6-1)+3)</f>
        <v>1718.16080972775</v>
      </c>
      <c r="N41" s="96" t="n">
        <f aca="false">INDEX(Perf_Prod!$C$103:$Q$103,3*(Unit_Cost!N$6-1)+3)</f>
        <v>1718.16080972775</v>
      </c>
      <c r="O41" s="96" t="n">
        <f aca="false">INDEX(Perf_Prod!$C$103:$Q$103,3*(Unit_Cost!O$6-1)+3)</f>
        <v>759.576286085008</v>
      </c>
      <c r="P41" s="96" t="n">
        <f aca="false">INDEX(Perf_Prod!$C$103:$Q$103,3*(Unit_Cost!P$6-1)+3)</f>
        <v>759.576286085008</v>
      </c>
      <c r="Q41" s="96" t="n">
        <f aca="false">INDEX(Perf_Prod!$C$103:$Q$103,3*(Unit_Cost!Q$6-1)+3)</f>
        <v>759.576286085008</v>
      </c>
      <c r="S41" s="96" t="n">
        <f aca="false">INDEX(Perf_Prod!$S$103:$AG$103,3*(Unit_Cost!C$6-1)+3)</f>
        <v>40694.6140792865</v>
      </c>
      <c r="T41" s="96" t="n">
        <f aca="false">INDEX(Perf_Prod!$S$103:$AG$103,3*(Unit_Cost!D$6-1)+3)</f>
        <v>40694.6140792865</v>
      </c>
      <c r="U41" s="96" t="n">
        <f aca="false">INDEX(Perf_Prod!$S$103:$AG$103,3*(Unit_Cost!E$6-1)+3)</f>
        <v>40694.6140792865</v>
      </c>
      <c r="V41" s="96" t="n">
        <f aca="false">INDEX(Perf_Prod!$S$103:$AG$103,3*(Unit_Cost!F$6-1)+3)</f>
        <v>5931.07676520949</v>
      </c>
      <c r="W41" s="96" t="n">
        <f aca="false">INDEX(Perf_Prod!$S$103:$AG$103,3*(Unit_Cost!G$6-1)+3)</f>
        <v>5931.07676520949</v>
      </c>
      <c r="X41" s="96" t="n">
        <f aca="false">INDEX(Perf_Prod!$S$103:$AG$103,3*(Unit_Cost!H$6-1)+3)</f>
        <v>5931.07676520949</v>
      </c>
      <c r="Y41" s="96" t="n">
        <f aca="false">INDEX(Perf_Prod!$S$103:$AG$103,3*(Unit_Cost!I$6-1)+3)</f>
        <v>4920.52361227776</v>
      </c>
      <c r="Z41" s="96" t="n">
        <f aca="false">INDEX(Perf_Prod!$S$103:$AG$103,3*(Unit_Cost!J$6-1)+3)</f>
        <v>4920.52361227776</v>
      </c>
      <c r="AA41" s="96" t="n">
        <f aca="false">INDEX(Perf_Prod!$S$103:$AG$103,3*(Unit_Cost!K$6-1)+3)</f>
        <v>4920.52361227776</v>
      </c>
      <c r="AB41" s="96" t="n">
        <f aca="false">INDEX(Perf_Prod!$S$103:$AG$103,3*(Unit_Cost!L$6-1)+3)</f>
        <v>1282.63712409266</v>
      </c>
      <c r="AC41" s="96" t="n">
        <f aca="false">INDEX(Perf_Prod!$S$103:$AG$103,3*(Unit_Cost!M$6-1)+3)</f>
        <v>1282.63712409266</v>
      </c>
      <c r="AD41" s="96" t="n">
        <f aca="false">INDEX(Perf_Prod!$S$103:$AG$103,3*(Unit_Cost!N$6-1)+3)</f>
        <v>1282.63712409266</v>
      </c>
      <c r="AE41" s="96" t="n">
        <f aca="false">INDEX(Perf_Prod!$S$103:$AG$103,3*(Unit_Cost!O$6-1)+3)</f>
        <v>575.147245462511</v>
      </c>
      <c r="AF41" s="96" t="n">
        <f aca="false">INDEX(Perf_Prod!$S$103:$AG$103,3*(Unit_Cost!P$6-1)+3)</f>
        <v>575.147245462511</v>
      </c>
      <c r="AG41" s="96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846</v>
      </c>
      <c r="B42" s="56" t="s">
        <v>795</v>
      </c>
      <c r="C42" s="114" t="n">
        <f aca="false">Unit_Cost!C$8/3600*Unit_Cost_Prod!C39</f>
        <v>0.523863410119276</v>
      </c>
      <c r="D42" s="114" t="n">
        <f aca="false">Unit_Cost!D$8/3600*Unit_Cost_Prod!D39</f>
        <v>0.748496026611284</v>
      </c>
      <c r="E42" s="114" t="n">
        <f aca="false">Unit_Cost!E$8/3600*Unit_Cost_Prod!E39</f>
        <v>1.28544297977104</v>
      </c>
      <c r="F42" s="114" t="n">
        <f aca="false">Unit_Cost!F$8/3600*Unit_Cost_Prod!F39</f>
        <v>0.0721850307521153</v>
      </c>
      <c r="G42" s="114" t="n">
        <f aca="false">Unit_Cost!G$8/3600*Unit_Cost_Prod!G39</f>
        <v>0.0963822006302029</v>
      </c>
      <c r="H42" s="114" t="n">
        <f aca="false">Unit_Cost!H$8/3600*Unit_Cost_Prod!H39</f>
        <v>0.156324181368484</v>
      </c>
      <c r="I42" s="114" t="n">
        <f aca="false">Unit_Cost!I$8/3600*Unit_Cost_Prod!I39</f>
        <v>0.0632081138803821</v>
      </c>
      <c r="J42" s="114" t="n">
        <f aca="false">Unit_Cost!J$8/3600*Unit_Cost_Prod!J39</f>
        <v>0.0816369369835597</v>
      </c>
      <c r="K42" s="114" t="n">
        <f aca="false">Unit_Cost!K$8/3600*Unit_Cost_Prod!K39</f>
        <v>0.138990865468262</v>
      </c>
      <c r="L42" s="114" t="n">
        <f aca="false">Unit_Cost!L$8/3600*Unit_Cost_Prod!L39</f>
        <v>0.0510310736456061</v>
      </c>
      <c r="M42" s="114" t="n">
        <f aca="false">Unit_Cost!M$8/3600*Unit_Cost_Prod!M39</f>
        <v>0.0655880851812597</v>
      </c>
      <c r="N42" s="114" t="n">
        <f aca="false">Unit_Cost!N$8/3600*Unit_Cost_Prod!N39</f>
        <v>0.105959582651786</v>
      </c>
      <c r="O42" s="114" t="n">
        <f aca="false">Unit_Cost!O$8/3600*Unit_Cost_Prod!O39</f>
        <v>0.0405940426595394</v>
      </c>
      <c r="P42" s="114" t="n">
        <f aca="false">Unit_Cost!P$8/3600*Unit_Cost_Prod!P39</f>
        <v>0.0616973787501149</v>
      </c>
      <c r="Q42" s="114" t="n">
        <f aca="false">Unit_Cost!Q$8/3600*Unit_Cost_Prod!Q39</f>
        <v>0.112631123844221</v>
      </c>
      <c r="S42" s="114" t="n">
        <f aca="false">Unit_Cost!C$8/3600*Unit_Cost_Prod!S39</f>
        <v>0.445283898601385</v>
      </c>
      <c r="T42" s="114" t="n">
        <f aca="false">Unit_Cost!D$8/3600*Unit_Cost_Prod!T39</f>
        <v>0.636221622619591</v>
      </c>
      <c r="U42" s="114" t="n">
        <f aca="false">Unit_Cost!E$8/3600*Unit_Cost_Prod!U39</f>
        <v>1.09262653280539</v>
      </c>
      <c r="V42" s="114" t="n">
        <f aca="false">Unit_Cost!F$8/3600*Unit_Cost_Prod!V39</f>
        <v>0.061357276139298</v>
      </c>
      <c r="W42" s="114" t="n">
        <f aca="false">Unit_Cost!G$8/3600*Unit_Cost_Prod!W39</f>
        <v>0.0819248705356724</v>
      </c>
      <c r="X42" s="114" t="n">
        <f aca="false">Unit_Cost!H$8/3600*Unit_Cost_Prod!X39</f>
        <v>0.132875554163212</v>
      </c>
      <c r="Y42" s="114" t="n">
        <f aca="false">Unit_Cost!I$8/3600*Unit_Cost_Prod!Y39</f>
        <v>0.0537268967983248</v>
      </c>
      <c r="Z42" s="114" t="n">
        <f aca="false">Unit_Cost!J$8/3600*Unit_Cost_Prod!Z39</f>
        <v>0.0693913964360257</v>
      </c>
      <c r="AA42" s="114" t="n">
        <f aca="false">Unit_Cost!K$8/3600*Unit_Cost_Prod!AA39</f>
        <v>0.118142235648023</v>
      </c>
      <c r="AB42" s="114" t="n">
        <f aca="false">Unit_Cost!L$8/3600*Unit_Cost_Prod!AB39</f>
        <v>0.0433764125987652</v>
      </c>
      <c r="AC42" s="114" t="n">
        <f aca="false">Unit_Cost!M$8/3600*Unit_Cost_Prod!AC39</f>
        <v>0.0557498724040708</v>
      </c>
      <c r="AD42" s="114" t="n">
        <f aca="false">Unit_Cost!N$8/3600*Unit_Cost_Prod!AD39</f>
        <v>0.0900656452540185</v>
      </c>
      <c r="AE42" s="114" t="n">
        <f aca="false">Unit_Cost!O$8/3600*Unit_Cost_Prod!AE39</f>
        <v>0.0345049362606085</v>
      </c>
      <c r="AF42" s="114" t="n">
        <f aca="false">Unit_Cost!P$8/3600*Unit_Cost_Prod!AF39</f>
        <v>0.0524427719375976</v>
      </c>
      <c r="AG42" s="114" t="n">
        <f aca="false">Unit_Cost!Q$8/3600*Unit_Cost_Prod!AG39</f>
        <v>0.0957364552675877</v>
      </c>
    </row>
    <row r="44" customFormat="false" ht="15" hidden="false" customHeight="false" outlineLevel="0" collapsed="false">
      <c r="A44" s="59" t="s">
        <v>848</v>
      </c>
      <c r="B44" s="56" t="s">
        <v>795</v>
      </c>
      <c r="C44" s="114" t="n">
        <f aca="false">IF(ISNUMBER(Unit_Cost_Prod!C41),Unit_Cost!C$8/3600*Unit_Cost_Prod!C41,"SLO 不可達")</f>
        <v>28.2309872416305</v>
      </c>
      <c r="D44" s="114" t="n">
        <f aca="false">IF(ISNUMBER(Unit_Cost_Prod!D41),Unit_Cost!D$8/3600*Unit_Cost_Prod!D41,"SLO 不可達")</f>
        <v>40.336433828931</v>
      </c>
      <c r="E44" s="114" t="n">
        <f aca="false">IF(ISNUMBER(Unit_Cost_Prod!E41),Unit_Cost!E$8/3600*Unit_Cost_Prod!E41,"SLO 不可達")</f>
        <v>69.2724929070678</v>
      </c>
      <c r="F44" s="114" t="n">
        <f aca="false">IF(ISNUMBER(Unit_Cost_Prod!F41),Unit_Cost!F$8/3600*Unit_Cost_Prod!F41,"SLO 不可達")</f>
        <v>3.47443380772583</v>
      </c>
      <c r="G44" s="114" t="n">
        <f aca="false">IF(ISNUMBER(Unit_Cost_Prod!G41),Unit_Cost!G$8/3600*Unit_Cost_Prod!G41,"SLO 不可達")</f>
        <v>4.63910000236133</v>
      </c>
      <c r="H44" s="114" t="n">
        <f aca="false">IF(ISNUMBER(Unit_Cost_Prod!H41),Unit_Cost!H$8/3600*Unit_Cost_Prod!H41,"SLO 不可達")</f>
        <v>7.52424727194302</v>
      </c>
      <c r="I44" s="114" t="n">
        <f aca="false">IF(ISNUMBER(Unit_Cost_Prod!I41),Unit_Cost!I$8/3600*Unit_Cost_Prod!I41,"SLO 不可達")</f>
        <v>3.97207808848589</v>
      </c>
      <c r="J44" s="114" t="n">
        <f aca="false">IF(ISNUMBER(Unit_Cost_Prod!J41),Unit_Cost!J$8/3600*Unit_Cost_Prod!J41,"SLO 不可達")</f>
        <v>5.13016871880025</v>
      </c>
      <c r="K44" s="114" t="n">
        <f aca="false">IF(ISNUMBER(Unit_Cost_Prod!K41),Unit_Cost!K$8/3600*Unit_Cost_Prod!K41,"SLO 不可達")</f>
        <v>8.73436236795422</v>
      </c>
      <c r="L44" s="114" t="n">
        <f aca="false">IF(ISNUMBER(Unit_Cost_Prod!L41),Unit_Cost!L$8/3600*Unit_Cost_Prod!L41,"SLO 不可達")</f>
        <v>1.77635851553715</v>
      </c>
      <c r="M44" s="114" t="n">
        <f aca="false">IF(ISNUMBER(Unit_Cost_Prod!M41),Unit_Cost!M$8/3600*Unit_Cost_Prod!M41,"SLO 不可達")</f>
        <v>2.28307862849635</v>
      </c>
      <c r="N44" s="114" t="n">
        <f aca="false">IF(ISNUMBER(Unit_Cost_Prod!N41),Unit_Cost!N$8/3600*Unit_Cost_Prod!N41,"SLO 不可達")</f>
        <v>3.68838422356943</v>
      </c>
      <c r="O44" s="114" t="n">
        <f aca="false">IF(ISNUMBER(Unit_Cost_Prod!O41),Unit_Cost!O$8/3600*Unit_Cost_Prod!O41,"SLO 不可達")</f>
        <v>1.24938361168957</v>
      </c>
      <c r="P44" s="114" t="n">
        <f aca="false">IF(ISNUMBER(Unit_Cost_Prod!P41),Unit_Cost!P$8/3600*Unit_Cost_Prod!P41,"SLO 不可達")</f>
        <v>1.89889177929619</v>
      </c>
      <c r="Q44" s="114" t="n">
        <f aca="false">IF(ISNUMBER(Unit_Cost_Prod!Q41),Unit_Cost!Q$8/3600*Unit_Cost_Prod!Q41,"SLO 不可達")</f>
        <v>3.46650570078365</v>
      </c>
      <c r="S44" s="114" t="n">
        <f aca="false">IF(ISNUMBER(Unit_Cost_Prod!S41),Unit_Cost!C$8/3600*Unit_Cost_Prod!S41,"SLO 不可達")</f>
        <v>12.2043697021718</v>
      </c>
      <c r="T44" s="114" t="n">
        <f aca="false">IF(ISNUMBER(Unit_Cost_Prod!T41),Unit_Cost!D$8/3600*Unit_Cost_Prod!T41,"SLO 不可達")</f>
        <v>17.437603109732</v>
      </c>
      <c r="U44" s="114" t="n">
        <f aca="false">IF(ISNUMBER(Unit_Cost_Prod!U41),Unit_Cost!E$8/3600*Unit_Cost_Prod!U41,"SLO 不可達")</f>
        <v>29.9467782119297</v>
      </c>
      <c r="V44" s="114" t="n">
        <f aca="false">IF(ISNUMBER(Unit_Cost_Prod!V41),Unit_Cost!F$8/3600*Unit_Cost_Prod!V41,"SLO 不可達")</f>
        <v>2.47824794341068</v>
      </c>
      <c r="W44" s="114" t="n">
        <f aca="false">IF(ISNUMBER(Unit_Cost_Prod!W41),Unit_Cost!G$8/3600*Unit_Cost_Prod!W41,"SLO 不可達")</f>
        <v>3.30898231952609</v>
      </c>
      <c r="X44" s="114" t="n">
        <f aca="false">IF(ISNUMBER(Unit_Cost_Prod!X41),Unit_Cost!H$8/3600*Unit_Cost_Prod!X41,"SLO 不可達")</f>
        <v>5.36690331700735</v>
      </c>
      <c r="Y44" s="114" t="n">
        <f aca="false">IF(ISNUMBER(Unit_Cost_Prod!Y41),Unit_Cost!I$8/3600*Unit_Cost_Prod!Y41,"SLO 不可達")</f>
        <v>2.70047072784554</v>
      </c>
      <c r="Z44" s="114" t="n">
        <f aca="false">IF(ISNUMBER(Unit_Cost_Prod!Z41),Unit_Cost!J$8/3600*Unit_Cost_Prod!Z41,"SLO 不可達")</f>
        <v>3.48781422353906</v>
      </c>
      <c r="AA44" s="114" t="n">
        <f aca="false">IF(ISNUMBER(Unit_Cost_Prod!AA41),Unit_Cost!K$8/3600*Unit_Cost_Prod!AA41,"SLO 不可達")</f>
        <v>5.93817376587556</v>
      </c>
      <c r="AB44" s="114" t="n">
        <f aca="false">IF(ISNUMBER(Unit_Cost_Prod!AB41),Unit_Cost!L$8/3600*Unit_Cost_Prod!AB41,"SLO 不可達")</f>
        <v>1.32608273033948</v>
      </c>
      <c r="AC44" s="114" t="n">
        <f aca="false">IF(ISNUMBER(Unit_Cost_Prod!AC41),Unit_Cost!M$8/3600*Unit_Cost_Prod!AC41,"SLO 不可達")</f>
        <v>1.70435816575049</v>
      </c>
      <c r="AD44" s="114" t="n">
        <f aca="false">IF(ISNUMBER(Unit_Cost_Prod!AD41),Unit_Cost!N$8/3600*Unit_Cost_Prod!AD41,"SLO 不可達")</f>
        <v>2.7534433949855</v>
      </c>
      <c r="AE44" s="114" t="n">
        <f aca="false">IF(ISNUMBER(Unit_Cost_Prod!AE41),Unit_Cost!O$8/3600*Unit_Cost_Prod!AE41,"SLO 不可達")</f>
        <v>0.946026825683234</v>
      </c>
      <c r="AF44" s="114" t="n">
        <f aca="false">IF(ISNUMBER(Unit_Cost_Prod!AF41),Unit_Cost!P$8/3600*Unit_Cost_Prod!AF41,"SLO 不可達")</f>
        <v>1.43783105963287</v>
      </c>
      <c r="AG44" s="114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2328</v>
      </c>
    </row>
    <row r="2" customFormat="false" ht="15" hidden="false" customHeight="false" outlineLevel="0" collapsed="false">
      <c r="A2" s="71" t="s">
        <v>2329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Interface!A4</f>
        <v>指標</v>
      </c>
      <c r="B4" s="90" t="str">
        <f aca="false">Interface!B4</f>
        <v>單位</v>
      </c>
      <c r="C4" s="172" t="str">
        <f aca="false">Interface!C4</f>
        <v>Hopper H100</v>
      </c>
      <c r="D4" s="172" t="str">
        <f aca="false">Interface!D4</f>
        <v>Hopper H100</v>
      </c>
      <c r="E4" s="172" t="str">
        <f aca="false">Interface!E4</f>
        <v>Hopper H100</v>
      </c>
      <c r="F4" s="172" t="str">
        <f aca="false">Interface!F4</f>
        <v>GB200 NVL72</v>
      </c>
      <c r="G4" s="172" t="str">
        <f aca="false">Interface!G4</f>
        <v>GB200 NVL72</v>
      </c>
      <c r="H4" s="172" t="str">
        <f aca="false">Interface!H4</f>
        <v>GB200 NVL72</v>
      </c>
      <c r="I4" s="172" t="str">
        <f aca="false">Interface!I4</f>
        <v>GB300 NVL72</v>
      </c>
      <c r="J4" s="172" t="str">
        <f aca="false">Interface!J4</f>
        <v>GB300 NVL72</v>
      </c>
      <c r="K4" s="172" t="str">
        <f aca="false">Interface!K4</f>
        <v>GB300 NVL72</v>
      </c>
      <c r="L4" s="172" t="str">
        <f aca="false">Interface!L4</f>
        <v>VR200 NVL72</v>
      </c>
      <c r="M4" s="172" t="str">
        <f aca="false">Interface!M4</f>
        <v>VR200 NVL72</v>
      </c>
      <c r="N4" s="172" t="str">
        <f aca="false">Interface!N4</f>
        <v>VR200 NVL72</v>
      </c>
      <c r="O4" s="172" t="str">
        <f aca="false">Interface!O4</f>
        <v>Rubin Ultra（MGX NVL 單架，72 GPU）</v>
      </c>
      <c r="P4" s="172" t="str">
        <f aca="false">Interface!P4</f>
        <v>Rubin Ultra（MGX NVL 單架，72 GPU）</v>
      </c>
      <c r="Q4" s="172" t="str">
        <f aca="false">Interface!Q4</f>
        <v>Rubin Ultra（MGX NVL 單架，72 GPU）</v>
      </c>
      <c r="S4" s="172" t="str">
        <f aca="false">Interface!C4</f>
        <v>Hopper H100</v>
      </c>
      <c r="T4" s="172" t="str">
        <f aca="false">Interface!D4</f>
        <v>Hopper H100</v>
      </c>
      <c r="U4" s="172" t="str">
        <f aca="false">Interface!E4</f>
        <v>Hopper H100</v>
      </c>
      <c r="V4" s="172" t="str">
        <f aca="false">Interface!F4</f>
        <v>GB200 NVL72</v>
      </c>
      <c r="W4" s="172" t="str">
        <f aca="false">Interface!G4</f>
        <v>GB200 NVL72</v>
      </c>
      <c r="X4" s="172" t="str">
        <f aca="false">Interface!H4</f>
        <v>GB200 NVL72</v>
      </c>
      <c r="Y4" s="172" t="str">
        <f aca="false">Interface!I4</f>
        <v>GB300 NVL72</v>
      </c>
      <c r="Z4" s="172" t="str">
        <f aca="false">Interface!J4</f>
        <v>GB300 NVL72</v>
      </c>
      <c r="AA4" s="172" t="str">
        <f aca="false">Interface!K4</f>
        <v>GB300 NVL72</v>
      </c>
      <c r="AB4" s="172" t="str">
        <f aca="false">Interface!L4</f>
        <v>VR200 NVL72</v>
      </c>
      <c r="AC4" s="172" t="str">
        <f aca="false">Interface!M4</f>
        <v>VR200 NVL72</v>
      </c>
      <c r="AD4" s="172" t="str">
        <f aca="false">Interface!N4</f>
        <v>VR200 NVL72</v>
      </c>
      <c r="AE4" s="172" t="str">
        <f aca="false">Interface!O4</f>
        <v>Rubin Ultra（MGX NVL 單架，72 GPU）</v>
      </c>
      <c r="AF4" s="172" t="str">
        <f aca="false">Interface!P4</f>
        <v>Rubin Ultra（MGX NVL 單架，72 GPU）</v>
      </c>
      <c r="AG4" s="172" t="str">
        <f aca="false">Interface!Q4</f>
        <v>Rubin Ultra（MGX NVL 單架，72 GPU）</v>
      </c>
    </row>
    <row r="5" customFormat="false" ht="15" hidden="false" customHeight="false" outlineLevel="0" collapsed="false">
      <c r="A5" s="90" t="str">
        <f aca="false">Interface!A5</f>
        <v>成本情境</v>
      </c>
      <c r="C5" s="90" t="str">
        <f aca="false">Interface!C5</f>
        <v>低成本</v>
      </c>
      <c r="D5" s="90" t="str">
        <f aca="false">Interface!D5</f>
        <v>基準</v>
      </c>
      <c r="E5" s="90" t="str">
        <f aca="false">Interface!E5</f>
        <v>高成本</v>
      </c>
      <c r="F5" s="90" t="str">
        <f aca="false">Interface!F5</f>
        <v>低成本</v>
      </c>
      <c r="G5" s="90" t="str">
        <f aca="false">Interface!G5</f>
        <v>基準</v>
      </c>
      <c r="H5" s="90" t="str">
        <f aca="false">Interface!H5</f>
        <v>高成本</v>
      </c>
      <c r="I5" s="90" t="str">
        <f aca="false">Interface!I5</f>
        <v>低成本</v>
      </c>
      <c r="J5" s="90" t="str">
        <f aca="false">Interface!J5</f>
        <v>基準</v>
      </c>
      <c r="K5" s="90" t="str">
        <f aca="false">Interface!K5</f>
        <v>高成本</v>
      </c>
      <c r="L5" s="90" t="str">
        <f aca="false">Interface!L5</f>
        <v>低成本</v>
      </c>
      <c r="M5" s="90" t="str">
        <f aca="false">Interface!M5</f>
        <v>基準</v>
      </c>
      <c r="N5" s="90" t="str">
        <f aca="false">Interface!N5</f>
        <v>高成本</v>
      </c>
      <c r="O5" s="90" t="str">
        <f aca="false">Interface!O5</f>
        <v>低成本</v>
      </c>
      <c r="P5" s="90" t="str">
        <f aca="false">Interface!P5</f>
        <v>基準</v>
      </c>
      <c r="Q5" s="90" t="str">
        <f aca="false">Interface!Q5</f>
        <v>高成本</v>
      </c>
      <c r="S5" s="90" t="str">
        <f aca="false">Interface!C5</f>
        <v>低成本</v>
      </c>
      <c r="T5" s="90" t="str">
        <f aca="false">Interface!D5</f>
        <v>基準</v>
      </c>
      <c r="U5" s="90" t="str">
        <f aca="false">Interface!E5</f>
        <v>高成本</v>
      </c>
      <c r="V5" s="90" t="str">
        <f aca="false">Interface!F5</f>
        <v>低成本</v>
      </c>
      <c r="W5" s="90" t="str">
        <f aca="false">Interface!G5</f>
        <v>基準</v>
      </c>
      <c r="X5" s="90" t="str">
        <f aca="false">Interface!H5</f>
        <v>高成本</v>
      </c>
      <c r="Y5" s="90" t="str">
        <f aca="false">Interface!I5</f>
        <v>低成本</v>
      </c>
      <c r="Z5" s="90" t="str">
        <f aca="false">Interface!J5</f>
        <v>基準</v>
      </c>
      <c r="AA5" s="90" t="str">
        <f aca="false">Interface!K5</f>
        <v>高成本</v>
      </c>
      <c r="AB5" s="90" t="str">
        <f aca="false">Interface!L5</f>
        <v>低成本</v>
      </c>
      <c r="AC5" s="90" t="str">
        <f aca="false">Interface!M5</f>
        <v>基準</v>
      </c>
      <c r="AD5" s="90" t="str">
        <f aca="false">Interface!N5</f>
        <v>高成本</v>
      </c>
      <c r="AE5" s="90" t="str">
        <f aca="false">Interface!O5</f>
        <v>低成本</v>
      </c>
      <c r="AF5" s="90" t="str">
        <f aca="false">Interface!P5</f>
        <v>基準</v>
      </c>
      <c r="AG5" s="90" t="str">
        <f aca="false">Interface!Q5</f>
        <v>高成本</v>
      </c>
    </row>
    <row r="6" customFormat="false" ht="15" hidden="false" customHeight="false" outlineLevel="0" collapsed="false">
      <c r="A6" s="90" t="str">
        <f aca="false">Interface!A6</f>
        <v>每 GW 機架數</v>
      </c>
      <c r="B6" s="90" t="str">
        <f aca="false">Interface!B6</f>
        <v>架</v>
      </c>
      <c r="C6" s="60" t="n">
        <f aca="false">Interface!C6</f>
        <v>22439</v>
      </c>
      <c r="D6" s="164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4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4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4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4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4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4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4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4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4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90" t="str">
        <f aca="false">Interface!A7</f>
        <v>每 GW GPU 數</v>
      </c>
      <c r="B7" s="90" t="str">
        <f aca="false">Interface!B7</f>
        <v>顆</v>
      </c>
      <c r="C7" s="60" t="n">
        <f aca="false">Interface!C7</f>
        <v>718048</v>
      </c>
      <c r="D7" s="164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4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4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4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4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4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4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4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4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4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8" t="s">
        <v>2330</v>
      </c>
      <c r="B21" s="56" t="s">
        <v>2321</v>
      </c>
      <c r="C21" s="164" t="n">
        <f aca="false">INDEX(Perf_Prod!$C$98:$Q$98,3*(Unit_Cost!C$6-1)+1)</f>
        <v>50766524969.9116</v>
      </c>
      <c r="D21" s="164" t="n">
        <f aca="false">INDEX(Perf_Prod!$C$98:$Q$98,3*(Unit_Cost!D$6-1)+1)</f>
        <v>50766524969.9116</v>
      </c>
      <c r="E21" s="164" t="n">
        <f aca="false">INDEX(Perf_Prod!$C$98:$Q$98,3*(Unit_Cost!E$6-1)+1)</f>
        <v>50766524969.9116</v>
      </c>
      <c r="F21" s="164" t="n">
        <f aca="false">INDEX(Perf_Prod!$C$98:$Q$98,3*(Unit_Cost!F$6-1)+1)</f>
        <v>283232558336.892</v>
      </c>
      <c r="G21" s="164" t="n">
        <f aca="false">INDEX(Perf_Prod!$C$98:$Q$98,3*(Unit_Cost!G$6-1)+1)</f>
        <v>283232558336.892</v>
      </c>
      <c r="H21" s="164" t="n">
        <f aca="false">INDEX(Perf_Prod!$C$98:$Q$98,3*(Unit_Cost!H$6-1)+1)</f>
        <v>283232558336.892</v>
      </c>
      <c r="I21" s="164" t="n">
        <f aca="false">INDEX(Perf_Prod!$C$98:$Q$98,3*(Unit_Cost!I$6-1)+1)</f>
        <v>412351490441.398</v>
      </c>
      <c r="J21" s="164" t="n">
        <f aca="false">INDEX(Perf_Prod!$C$98:$Q$98,3*(Unit_Cost!J$6-1)+1)</f>
        <v>412351490441.398</v>
      </c>
      <c r="K21" s="164" t="n">
        <f aca="false">INDEX(Perf_Prod!$C$98:$Q$98,3*(Unit_Cost!K$6-1)+1)</f>
        <v>412351490441.398</v>
      </c>
      <c r="L21" s="164" t="n">
        <f aca="false">INDEX(Perf_Prod!$C$98:$Q$98,3*(Unit_Cost!L$6-1)+1)</f>
        <v>608245746199.523</v>
      </c>
      <c r="M21" s="164" t="n">
        <f aca="false">INDEX(Perf_Prod!$C$98:$Q$98,3*(Unit_Cost!M$6-1)+1)</f>
        <v>608245746199.523</v>
      </c>
      <c r="N21" s="164" t="n">
        <f aca="false">INDEX(Perf_Prod!$C$98:$Q$98,3*(Unit_Cost!N$6-1)+1)</f>
        <v>608245746199.523</v>
      </c>
      <c r="O21" s="164" t="n">
        <f aca="false">INDEX(Perf_Prod!$C$98:$Q$98,3*(Unit_Cost!O$6-1)+1)</f>
        <v>823407904790.176</v>
      </c>
      <c r="P21" s="164" t="n">
        <f aca="false">INDEX(Perf_Prod!$C$98:$Q$98,3*(Unit_Cost!P$6-1)+1)</f>
        <v>823407904790.176</v>
      </c>
      <c r="Q21" s="164" t="n">
        <f aca="false">INDEX(Perf_Prod!$C$98:$Q$98,3*(Unit_Cost!Q$6-1)+1)</f>
        <v>823407904790.176</v>
      </c>
      <c r="S21" s="164" t="n">
        <f aca="false">INDEX(Perf_Prod!$S$98:$AG$98,3*(Unit_Cost!C$6-1)+1)</f>
        <v>74067251304.9223</v>
      </c>
      <c r="T21" s="164" t="n">
        <f aca="false">INDEX(Perf_Prod!$S$98:$AG$98,3*(Unit_Cost!D$6-1)+1)</f>
        <v>74067251304.9223</v>
      </c>
      <c r="U21" s="164" t="n">
        <f aca="false">INDEX(Perf_Prod!$S$98:$AG$98,3*(Unit_Cost!E$6-1)+1)</f>
        <v>74067251304.9223</v>
      </c>
      <c r="V21" s="164" t="n">
        <f aca="false">INDEX(Perf_Prod!$S$98:$AG$98,3*(Unit_Cost!F$6-1)+1)</f>
        <v>362306894085.614</v>
      </c>
      <c r="W21" s="164" t="n">
        <f aca="false">INDEX(Perf_Prod!$S$98:$AG$98,3*(Unit_Cost!G$6-1)+1)</f>
        <v>362306894085.614</v>
      </c>
      <c r="X21" s="164" t="n">
        <f aca="false">INDEX(Perf_Prod!$S$98:$AG$98,3*(Unit_Cost!H$6-1)+1)</f>
        <v>362306894085.614</v>
      </c>
      <c r="Y21" s="164" t="n">
        <f aca="false">INDEX(Perf_Prod!$S$98:$AG$98,3*(Unit_Cost!I$6-1)+1)</f>
        <v>527473919843.971</v>
      </c>
      <c r="Z21" s="164" t="n">
        <f aca="false">INDEX(Perf_Prod!$S$98:$AG$98,3*(Unit_Cost!J$6-1)+1)</f>
        <v>527473919843.971</v>
      </c>
      <c r="AA21" s="164" t="n">
        <f aca="false">INDEX(Perf_Prod!$S$98:$AG$98,3*(Unit_Cost!K$6-1)+1)</f>
        <v>527473919843.971</v>
      </c>
      <c r="AB21" s="164" t="n">
        <f aca="false">INDEX(Perf_Prod!$S$98:$AG$98,3*(Unit_Cost!L$6-1)+1)</f>
        <v>772778400993.445</v>
      </c>
      <c r="AC21" s="164" t="n">
        <f aca="false">INDEX(Perf_Prod!$S$98:$AG$98,3*(Unit_Cost!M$6-1)+1)</f>
        <v>772778400993.445</v>
      </c>
      <c r="AD21" s="164" t="n">
        <f aca="false">INDEX(Perf_Prod!$S$98:$AG$98,3*(Unit_Cost!N$6-1)+1)</f>
        <v>772778400993.445</v>
      </c>
      <c r="AE21" s="164" t="n">
        <f aca="false">INDEX(Perf_Prod!$S$98:$AG$98,3*(Unit_Cost!O$6-1)+1)</f>
        <v>1044373713057.39</v>
      </c>
      <c r="AF21" s="164" t="n">
        <f aca="false">INDEX(Perf_Prod!$S$98:$AG$98,3*(Unit_Cost!P$6-1)+1)</f>
        <v>1044373713057.39</v>
      </c>
      <c r="AG21" s="164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2331</v>
      </c>
      <c r="B23" s="56" t="s">
        <v>795</v>
      </c>
      <c r="C23" s="92" t="n">
        <f aca="false">Unit_Cost_Prod!C16</f>
        <v>0.0454972167701083</v>
      </c>
      <c r="D23" s="92" t="n">
        <f aca="false">Unit_Cost_Prod!D16</f>
        <v>0.0650064221254633</v>
      </c>
      <c r="E23" s="92" t="n">
        <f aca="false">Unit_Cost_Prod!E16</f>
        <v>0.111639936606646</v>
      </c>
      <c r="F23" s="92" t="n">
        <f aca="false">Unit_Cost_Prod!F16</f>
        <v>0.0062692257719205</v>
      </c>
      <c r="G23" s="92" t="n">
        <f aca="false">Unit_Cost_Prod!G16</f>
        <v>0.00837073517666367</v>
      </c>
      <c r="H23" s="92" t="n">
        <f aca="false">Unit_Cost_Prod!H16</f>
        <v>0.013576659542823</v>
      </c>
      <c r="I23" s="92" t="n">
        <f aca="false">Unit_Cost_Prod!I16</f>
        <v>0.00548958603195948</v>
      </c>
      <c r="J23" s="92" t="n">
        <f aca="false">Unit_Cost_Prod!J16</f>
        <v>0.00709011804726542</v>
      </c>
      <c r="K23" s="92" t="n">
        <f aca="false">Unit_Cost_Prod!K16</f>
        <v>0.0120712716580734</v>
      </c>
      <c r="L23" s="92" t="n">
        <f aca="false">Unit_Cost_Prod!L16</f>
        <v>0.00443201753513739</v>
      </c>
      <c r="M23" s="92" t="n">
        <f aca="false">Unit_Cost_Prod!M16</f>
        <v>0.00569628508383258</v>
      </c>
      <c r="N23" s="92" t="n">
        <f aca="false">Unit_Cost_Prod!N16</f>
        <v>0.00920252494764025</v>
      </c>
      <c r="O23" s="92" t="n">
        <f aca="false">Unit_Cost_Prod!O16</f>
        <v>0.00352556777736313</v>
      </c>
      <c r="P23" s="92" t="n">
        <f aca="false">Unit_Cost_Prod!P16</f>
        <v>0.00535837960987259</v>
      </c>
      <c r="Q23" s="92" t="n">
        <f aca="false">Unit_Cost_Prod!Q16</f>
        <v>0.00978194421983905</v>
      </c>
      <c r="S23" s="92" t="n">
        <f aca="false">Unit_Cost_Prod!S16</f>
        <v>0.0386726342545921</v>
      </c>
      <c r="T23" s="92" t="n">
        <f aca="false">Unit_Cost_Prod!T16</f>
        <v>0.0552554588066438</v>
      </c>
      <c r="U23" s="92" t="n">
        <f aca="false">Unit_Cost_Prod!U16</f>
        <v>0.0948939461156487</v>
      </c>
      <c r="V23" s="92" t="n">
        <f aca="false">Unit_Cost_Prod!V16</f>
        <v>0.00532884190613242</v>
      </c>
      <c r="W23" s="92" t="n">
        <f aca="false">Unit_Cost_Prod!W16</f>
        <v>0.00711512490016412</v>
      </c>
      <c r="X23" s="92" t="n">
        <f aca="false">Unit_Cost_Prod!X16</f>
        <v>0.0115401606113995</v>
      </c>
      <c r="Y23" s="92" t="n">
        <f aca="false">Unit_Cost_Prod!Y16</f>
        <v>0.00466614812716556</v>
      </c>
      <c r="Z23" s="92" t="n">
        <f aca="false">Unit_Cost_Prod!Z16</f>
        <v>0.00602660034017561</v>
      </c>
      <c r="AA23" s="92" t="n">
        <f aca="false">Unit_Cost_Prod!AA16</f>
        <v>0.0102605809093624</v>
      </c>
      <c r="AB23" s="92" t="n">
        <f aca="false">Unit_Cost_Prod!AB16</f>
        <v>0.00376721490486678</v>
      </c>
      <c r="AC23" s="92" t="n">
        <f aca="false">Unit_Cost_Prod!AC16</f>
        <v>0.00484184232125769</v>
      </c>
      <c r="AD23" s="92" t="n">
        <f aca="false">Unit_Cost_Prod!AD16</f>
        <v>0.00782214620549421</v>
      </c>
      <c r="AE23" s="92" t="n">
        <f aca="false">Unit_Cost_Prod!AE16</f>
        <v>0.00299673261075866</v>
      </c>
      <c r="AF23" s="92" t="n">
        <f aca="false">Unit_Cost_Prod!AF16</f>
        <v>0.0045546226683917</v>
      </c>
      <c r="AG23" s="92" t="n">
        <f aca="false">Unit_Cost_Prod!AG16</f>
        <v>0.00831465258686319</v>
      </c>
    </row>
    <row r="25" customFormat="false" ht="15" hidden="false" customHeight="false" outlineLevel="0" collapsed="false">
      <c r="A25" s="59" t="s">
        <v>2332</v>
      </c>
      <c r="B25" s="56" t="s">
        <v>795</v>
      </c>
      <c r="C25" s="114" t="n">
        <f aca="false">Unit_Cost_Prod!C18</f>
        <v>0.839958755792001</v>
      </c>
      <c r="D25" s="114" t="n">
        <f aca="false">Unit_Cost_Prod!D18</f>
        <v>1.20013304820148</v>
      </c>
      <c r="E25" s="114" t="n">
        <f aca="false">Unit_Cost_Prod!E18</f>
        <v>2.06106986110027</v>
      </c>
      <c r="F25" s="114" t="n">
        <f aca="false">Unit_Cost_Prod!F18</f>
        <v>0.159943319788345</v>
      </c>
      <c r="G25" s="114" t="n">
        <f aca="false">Unit_Cost_Prod!G18</f>
        <v>0.213557977002722</v>
      </c>
      <c r="H25" s="114" t="n">
        <f aca="false">Unit_Cost_Prod!H18</f>
        <v>0.346373871019486</v>
      </c>
      <c r="I25" s="114" t="n">
        <f aca="false">Unit_Cost_Prod!I18</f>
        <v>0.140052798568516</v>
      </c>
      <c r="J25" s="114" t="n">
        <f aca="false">Unit_Cost_Prod!J18</f>
        <v>0.180886294325224</v>
      </c>
      <c r="K25" s="114" t="n">
        <f aca="false">Unit_Cost_Prod!K18</f>
        <v>0.307967735299438</v>
      </c>
      <c r="L25" s="114" t="n">
        <f aca="false">Unit_Cost_Prod!L18</f>
        <v>0.105290741718836</v>
      </c>
      <c r="M25" s="114" t="n">
        <f aca="false">Unit_Cost_Prod!M18</f>
        <v>0.135325746516949</v>
      </c>
      <c r="N25" s="114" t="n">
        <f aca="false">Unit_Cost_Prod!N18</f>
        <v>0.218622934079411</v>
      </c>
      <c r="O25" s="114" t="n">
        <f aca="false">Unit_Cost_Prod!O18</f>
        <v>0.0822181312210071</v>
      </c>
      <c r="P25" s="114" t="n">
        <f aca="false">Unit_Cost_Prod!P18</f>
        <v>0.124960286035396</v>
      </c>
      <c r="Q25" s="114" t="n">
        <f aca="false">Unit_Cost_Prod!Q18</f>
        <v>0.228120184960625</v>
      </c>
      <c r="S25" s="114" t="n">
        <f aca="false">Unit_Cost_Prod!S18</f>
        <v>0.515810502571941</v>
      </c>
      <c r="T25" s="114" t="n">
        <f aca="false">Unit_Cost_Prod!T18</f>
        <v>0.736990032519282</v>
      </c>
      <c r="U25" s="114" t="n">
        <f aca="false">Unit_Cost_Prod!U18</f>
        <v>1.26568295592989</v>
      </c>
      <c r="V25" s="114" t="n">
        <f aca="false">Unit_Cost_Prod!V18</f>
        <v>0.121612196523219</v>
      </c>
      <c r="W25" s="114" t="n">
        <f aca="false">Unit_Cost_Prod!W18</f>
        <v>0.162377864250437</v>
      </c>
      <c r="X25" s="114" t="n">
        <f aca="false">Unit_Cost_Prod!X18</f>
        <v>0.263363842445387</v>
      </c>
      <c r="Y25" s="114" t="n">
        <f aca="false">Unit_Cost_Prod!Y18</f>
        <v>0.106488526596046</v>
      </c>
      <c r="Z25" s="114" t="n">
        <f aca="false">Unit_Cost_Prod!Z18</f>
        <v>0.137536094679954</v>
      </c>
      <c r="AA25" s="114" t="n">
        <f aca="false">Unit_Cost_Prod!AA18</f>
        <v>0.234161906840545</v>
      </c>
      <c r="AB25" s="114" t="n">
        <f aca="false">Unit_Cost_Prod!AB18</f>
        <v>0.0806426702715034</v>
      </c>
      <c r="AC25" s="114" t="n">
        <f aca="false">Unit_Cost_Prod!AC18</f>
        <v>0.103646620561882</v>
      </c>
      <c r="AD25" s="114" t="n">
        <f aca="false">Unit_Cost_Prod!AD18</f>
        <v>0.167444325103472</v>
      </c>
      <c r="AE25" s="114" t="n">
        <f aca="false">Unit_Cost_Prod!AE18</f>
        <v>0.0630858774448701</v>
      </c>
      <c r="AF25" s="114" t="n">
        <f aca="false">Unit_Cost_Prod!AF18</f>
        <v>0.0958818836336032</v>
      </c>
      <c r="AG25" s="114" t="n">
        <f aca="false">Unit_Cost_Prod!AG18</f>
        <v>0.175036355331926</v>
      </c>
    </row>
    <row r="31" customFormat="false" ht="15" hidden="false" customHeight="false" outlineLevel="0" collapsed="false">
      <c r="A31" s="58" t="s">
        <v>2333</v>
      </c>
      <c r="B31" s="56" t="s">
        <v>2321</v>
      </c>
      <c r="C31" s="164" t="n">
        <f aca="false">INDEX(Perf_Prod!$C$98:$Q$98,3*(Unit_Cost!C$6-1)+2)</f>
        <v>15694514740.0473</v>
      </c>
      <c r="D31" s="164" t="n">
        <f aca="false">INDEX(Perf_Prod!$C$98:$Q$98,3*(Unit_Cost!D$6-1)+2)</f>
        <v>15694514740.0473</v>
      </c>
      <c r="E31" s="164" t="n">
        <f aca="false">INDEX(Perf_Prod!$C$98:$Q$98,3*(Unit_Cost!E$6-1)+2)</f>
        <v>15694514740.0473</v>
      </c>
      <c r="F31" s="164" t="n">
        <f aca="false">INDEX(Perf_Prod!$C$98:$Q$98,3*(Unit_Cost!F$6-1)+2)</f>
        <v>83122186024.2059</v>
      </c>
      <c r="G31" s="164" t="n">
        <f aca="false">INDEX(Perf_Prod!$C$98:$Q$98,3*(Unit_Cost!G$6-1)+2)</f>
        <v>83122186024.2059</v>
      </c>
      <c r="H31" s="164" t="n">
        <f aca="false">INDEX(Perf_Prod!$C$98:$Q$98,3*(Unit_Cost!H$6-1)+2)</f>
        <v>83122186024.2059</v>
      </c>
      <c r="I31" s="164" t="n">
        <f aca="false">INDEX(Perf_Prod!$C$98:$Q$98,3*(Unit_Cost!I$6-1)+2)</f>
        <v>121015597560.854</v>
      </c>
      <c r="J31" s="164" t="n">
        <f aca="false">INDEX(Perf_Prod!$C$98:$Q$98,3*(Unit_Cost!J$6-1)+2)</f>
        <v>121015597560.854</v>
      </c>
      <c r="K31" s="164" t="n">
        <f aca="false">INDEX(Perf_Prod!$C$98:$Q$98,3*(Unit_Cost!K$6-1)+2)</f>
        <v>121015597560.854</v>
      </c>
      <c r="L31" s="164" t="n">
        <f aca="false">INDEX(Perf_Prod!$C$98:$Q$98,3*(Unit_Cost!L$6-1)+2)</f>
        <v>191644052868.822</v>
      </c>
      <c r="M31" s="164" t="n">
        <f aca="false">INDEX(Perf_Prod!$C$98:$Q$98,3*(Unit_Cost!M$6-1)+2)</f>
        <v>191644052868.822</v>
      </c>
      <c r="N31" s="164" t="n">
        <f aca="false">INDEX(Perf_Prod!$C$98:$Q$98,3*(Unit_Cost!N$6-1)+2)</f>
        <v>191644052868.822</v>
      </c>
      <c r="O31" s="164" t="n">
        <f aca="false">INDEX(Perf_Prod!$C$98:$Q$98,3*(Unit_Cost!O$6-1)+2)</f>
        <v>264164840872.129</v>
      </c>
      <c r="P31" s="164" t="n">
        <f aca="false">INDEX(Perf_Prod!$C$98:$Q$98,3*(Unit_Cost!P$6-1)+2)</f>
        <v>264164840872.129</v>
      </c>
      <c r="Q31" s="164" t="n">
        <f aca="false">INDEX(Perf_Prod!$C$98:$Q$98,3*(Unit_Cost!Q$6-1)+2)</f>
        <v>264164840872.129</v>
      </c>
      <c r="S31" s="164" t="n">
        <f aca="false">INDEX(Perf_Prod!$S$98:$AG$98,3*(Unit_Cost!C$6-1)+2)</f>
        <v>21490429685.4234</v>
      </c>
      <c r="T31" s="164" t="n">
        <f aca="false">INDEX(Perf_Prod!$S$98:$AG$98,3*(Unit_Cost!D$6-1)+2)</f>
        <v>21490429685.4234</v>
      </c>
      <c r="U31" s="164" t="n">
        <f aca="false">INDEX(Perf_Prod!$S$98:$AG$98,3*(Unit_Cost!E$6-1)+2)</f>
        <v>21490429685.4234</v>
      </c>
      <c r="V31" s="164" t="n">
        <f aca="false">INDEX(Perf_Prod!$S$98:$AG$98,3*(Unit_Cost!F$6-1)+2)</f>
        <v>104125401080.667</v>
      </c>
      <c r="W31" s="164" t="n">
        <f aca="false">INDEX(Perf_Prod!$S$98:$AG$98,3*(Unit_Cost!G$6-1)+2)</f>
        <v>104125401080.667</v>
      </c>
      <c r="X31" s="164" t="n">
        <f aca="false">INDEX(Perf_Prod!$S$98:$AG$98,3*(Unit_Cost!H$6-1)+2)</f>
        <v>104125401080.667</v>
      </c>
      <c r="Y31" s="164" t="n">
        <f aca="false">INDEX(Perf_Prod!$S$98:$AG$98,3*(Unit_Cost!I$6-1)+2)</f>
        <v>151593674754.548</v>
      </c>
      <c r="Z31" s="164" t="n">
        <f aca="false">INDEX(Perf_Prod!$S$98:$AG$98,3*(Unit_Cost!J$6-1)+2)</f>
        <v>151593674754.548</v>
      </c>
      <c r="AA31" s="164" t="n">
        <f aca="false">INDEX(Perf_Prod!$S$98:$AG$98,3*(Unit_Cost!K$6-1)+2)</f>
        <v>151593674754.548</v>
      </c>
      <c r="AB31" s="164" t="n">
        <f aca="false">INDEX(Perf_Prod!$S$98:$AG$98,3*(Unit_Cost!L$6-1)+2)</f>
        <v>237287338734.99</v>
      </c>
      <c r="AC31" s="164" t="n">
        <f aca="false">INDEX(Perf_Prod!$S$98:$AG$98,3*(Unit_Cost!M$6-1)+2)</f>
        <v>237287338734.99</v>
      </c>
      <c r="AD31" s="164" t="n">
        <f aca="false">INDEX(Perf_Prod!$S$98:$AG$98,3*(Unit_Cost!N$6-1)+2)</f>
        <v>237287338734.99</v>
      </c>
      <c r="AE31" s="164" t="n">
        <f aca="false">INDEX(Perf_Prod!$S$98:$AG$98,3*(Unit_Cost!O$6-1)+2)</f>
        <v>326185670522.351</v>
      </c>
      <c r="AF31" s="164" t="n">
        <f aca="false">INDEX(Perf_Prod!$S$98:$AG$98,3*(Unit_Cost!P$6-1)+2)</f>
        <v>326185670522.351</v>
      </c>
      <c r="AG31" s="164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2334</v>
      </c>
      <c r="B33" s="56" t="s">
        <v>795</v>
      </c>
      <c r="C33" s="92" t="n">
        <f aca="false">Unit_Cost_Prod!C29</f>
        <v>0.157911361420697</v>
      </c>
      <c r="D33" s="92" t="n">
        <f aca="false">Unit_Cost_Prod!D29</f>
        <v>0.225623749047979</v>
      </c>
      <c r="E33" s="92" t="n">
        <f aca="false">Unit_Cost_Prod!E29</f>
        <v>0.38747896311007</v>
      </c>
      <c r="F33" s="92" t="n">
        <f aca="false">Unit_Cost_Prod!F29</f>
        <v>0.0217591766481</v>
      </c>
      <c r="G33" s="92" t="n">
        <f aca="false">Unit_Cost_Prod!G29</f>
        <v>0.0290530780051478</v>
      </c>
      <c r="H33" s="92" t="n">
        <f aca="false">Unit_Cost_Prod!H29</f>
        <v>0.0471217569809901</v>
      </c>
      <c r="I33" s="92" t="n">
        <f aca="false">Unit_Cost_Prod!I29</f>
        <v>0.0190532095253856</v>
      </c>
      <c r="J33" s="92" t="n">
        <f aca="false">Unit_Cost_Prod!J29</f>
        <v>0.0246083227273963</v>
      </c>
      <c r="K33" s="92" t="n">
        <f aca="false">Unit_Cost_Prod!K29</f>
        <v>0.0418968692356981</v>
      </c>
      <c r="L33" s="92" t="n">
        <f aca="false">Unit_Cost_Prod!L29</f>
        <v>0.0153826095857749</v>
      </c>
      <c r="M33" s="92" t="n">
        <f aca="false">Unit_Cost_Prod!M29</f>
        <v>0.0197706188748536</v>
      </c>
      <c r="N33" s="92" t="n">
        <f aca="false">Unit_Cost_Prod!N29</f>
        <v>0.0319400470216134</v>
      </c>
      <c r="O33" s="92" t="n">
        <f aca="false">Unit_Cost_Prod!O29</f>
        <v>0.0122365113083164</v>
      </c>
      <c r="P33" s="92" t="n">
        <f aca="false">Unit_Cost_Prod!P29</f>
        <v>0.0185978193672674</v>
      </c>
      <c r="Q33" s="92" t="n">
        <f aca="false">Unit_Cost_Prod!Q29</f>
        <v>0.0339510906106888</v>
      </c>
      <c r="S33" s="92" t="n">
        <f aca="false">Unit_Cost_Prod!S29</f>
        <v>0.134224657207592</v>
      </c>
      <c r="T33" s="92" t="n">
        <f aca="false">Unit_Cost_Prod!T29</f>
        <v>0.191780186690782</v>
      </c>
      <c r="U33" s="92" t="n">
        <f aca="false">Unit_Cost_Prod!U29</f>
        <v>0.32935711864356</v>
      </c>
      <c r="V33" s="92" t="n">
        <f aca="false">Unit_Cost_Prod!V29</f>
        <v>0.018495300150885</v>
      </c>
      <c r="W33" s="92" t="n">
        <f aca="false">Unit_Cost_Prod!W29</f>
        <v>0.0246951163043756</v>
      </c>
      <c r="X33" s="92" t="n">
        <f aca="false">Unit_Cost_Prod!X29</f>
        <v>0.0400534934338416</v>
      </c>
      <c r="Y33" s="92" t="n">
        <f aca="false">Unit_Cost_Prod!Y29</f>
        <v>0.0161952280965778</v>
      </c>
      <c r="Z33" s="92" t="n">
        <f aca="false">Unit_Cost_Prod!Z29</f>
        <v>0.0209170743182869</v>
      </c>
      <c r="AA33" s="92" t="n">
        <f aca="false">Unit_Cost_Prod!AA29</f>
        <v>0.0356123388503434</v>
      </c>
      <c r="AB33" s="92" t="n">
        <f aca="false">Unit_Cost_Prod!AB29</f>
        <v>0.0130752181479087</v>
      </c>
      <c r="AC33" s="92" t="n">
        <f aca="false">Unit_Cost_Prod!AC29</f>
        <v>0.0168050260436256</v>
      </c>
      <c r="AD33" s="92" t="n">
        <f aca="false">Unit_Cost_Prod!AD29</f>
        <v>0.0271490399683714</v>
      </c>
      <c r="AE33" s="92" t="n">
        <f aca="false">Unit_Cost_Prod!AE29</f>
        <v>0.0104010346120689</v>
      </c>
      <c r="AF33" s="92" t="n">
        <f aca="false">Unit_Cost_Prod!AF29</f>
        <v>0.0158081464621773</v>
      </c>
      <c r="AG33" s="92" t="n">
        <f aca="false">Unit_Cost_Prod!AG29</f>
        <v>0.0288584270190855</v>
      </c>
    </row>
    <row r="35" customFormat="false" ht="15" hidden="false" customHeight="false" outlineLevel="0" collapsed="false">
      <c r="A35" s="59" t="s">
        <v>2335</v>
      </c>
      <c r="B35" s="56" t="s">
        <v>795</v>
      </c>
      <c r="C35" s="114" t="n">
        <f aca="false">Unit_Cost_Prod!C31</f>
        <v>2.6310424404846</v>
      </c>
      <c r="D35" s="114" t="n">
        <f aca="false">Unit_Cost_Prod!D31</f>
        <v>3.75923336982057</v>
      </c>
      <c r="E35" s="114" t="n">
        <f aca="false">Unit_Cost_Prod!E31</f>
        <v>6.45598636833705</v>
      </c>
      <c r="F35" s="114" t="n">
        <f aca="false">Unit_Cost_Prod!F31</f>
        <v>0.541816643756206</v>
      </c>
      <c r="G35" s="114" t="n">
        <f aca="false">Unit_Cost_Prod!G31</f>
        <v>0.723439193960079</v>
      </c>
      <c r="H35" s="114" t="n">
        <f aca="false">Unit_Cost_Prod!H31</f>
        <v>1.17336021616264</v>
      </c>
      <c r="I35" s="114" t="n">
        <f aca="false">Unit_Cost_Prod!I31</f>
        <v>0.474436427663711</v>
      </c>
      <c r="J35" s="114" t="n">
        <f aca="false">Unit_Cost_Prod!J31</f>
        <v>0.612762102365289</v>
      </c>
      <c r="K35" s="114" t="n">
        <f aca="false">Unit_Cost_Prod!K31</f>
        <v>1.04325735483014</v>
      </c>
      <c r="L35" s="114" t="n">
        <f aca="false">Unit_Cost_Prod!L31</f>
        <v>0.323645874636291</v>
      </c>
      <c r="M35" s="114" t="n">
        <f aca="false">Unit_Cost_Prod!M31</f>
        <v>0.415968383138967</v>
      </c>
      <c r="N35" s="114" t="n">
        <f aca="false">Unit_Cost_Prod!N31</f>
        <v>0.672009804096812</v>
      </c>
      <c r="O35" s="114" t="n">
        <f aca="false">Unit_Cost_Prod!O31</f>
        <v>0.24629793072747</v>
      </c>
      <c r="P35" s="114" t="n">
        <f aca="false">Unit_Cost_Prod!P31</f>
        <v>0.37433908332092</v>
      </c>
      <c r="Q35" s="114" t="n">
        <f aca="false">Unit_Cost_Prod!Q31</f>
        <v>0.683371522540933</v>
      </c>
      <c r="S35" s="114" t="n">
        <f aca="false">Unit_Cost_Prod!S31</f>
        <v>1.7702441493306</v>
      </c>
      <c r="T35" s="114" t="n">
        <f aca="false">Unit_Cost_Prod!T31</f>
        <v>2.52932479404151</v>
      </c>
      <c r="U35" s="114" t="n">
        <f aca="false">Unit_Cost_Prod!U31</f>
        <v>4.34378097473856</v>
      </c>
      <c r="V35" s="114" t="n">
        <f aca="false">Unit_Cost_Prod!V31</f>
        <v>0.423524919545995</v>
      </c>
      <c r="W35" s="114" t="n">
        <f aca="false">Unit_Cost_Prod!W31</f>
        <v>0.565494858729786</v>
      </c>
      <c r="X35" s="114" t="n">
        <f aca="false">Unit_Cost_Prod!X31</f>
        <v>0.917187201381651</v>
      </c>
      <c r="Y35" s="114" t="n">
        <f aca="false">Unit_Cost_Prod!Y31</f>
        <v>0.37085544006724</v>
      </c>
      <c r="Z35" s="114" t="n">
        <f aca="false">Unit_Cost_Prod!Z31</f>
        <v>0.478981262565029</v>
      </c>
      <c r="AA35" s="114" t="n">
        <f aca="false">Unit_Cost_Prod!AA31</f>
        <v>0.815488952511794</v>
      </c>
      <c r="AB35" s="114" t="n">
        <f aca="false">Unit_Cost_Prod!AB31</f>
        <v>0.256178955227036</v>
      </c>
      <c r="AC35" s="114" t="n">
        <f aca="false">Unit_Cost_Prod!AC31</f>
        <v>0.329255999075451</v>
      </c>
      <c r="AD35" s="114" t="n">
        <f aca="false">Unit_Cost_Prod!AD31</f>
        <v>0.531923262452556</v>
      </c>
      <c r="AE35" s="114" t="n">
        <f aca="false">Unit_Cost_Prod!AE31</f>
        <v>0.195537573688745</v>
      </c>
      <c r="AF35" s="114" t="n">
        <f aca="false">Unit_Cost_Prod!AF31</f>
        <v>0.297190300678713</v>
      </c>
      <c r="AG35" s="114" t="n">
        <f aca="false">Unit_Cost_Prod!AG31</f>
        <v>0.542533220035429</v>
      </c>
    </row>
    <row r="41" customFormat="false" ht="15" hidden="false" customHeight="false" outlineLevel="0" collapsed="false">
      <c r="A41" s="58" t="s">
        <v>2336</v>
      </c>
      <c r="B41" s="56" t="s">
        <v>2321</v>
      </c>
      <c r="C41" s="164" t="n">
        <f aca="false">INDEX(Perf_Prod!$C$98:$Q$98,3*(Unit_Cost!C$6-1)+3)</f>
        <v>1885135732.48487</v>
      </c>
      <c r="D41" s="164" t="n">
        <f aca="false">INDEX(Perf_Prod!$C$98:$Q$98,3*(Unit_Cost!D$6-1)+3)</f>
        <v>1885135732.48487</v>
      </c>
      <c r="E41" s="164" t="n">
        <f aca="false">INDEX(Perf_Prod!$C$98:$Q$98,3*(Unit_Cost!E$6-1)+3)</f>
        <v>1885135732.48487</v>
      </c>
      <c r="F41" s="164" t="n">
        <f aca="false">INDEX(Perf_Prod!$C$98:$Q$98,3*(Unit_Cost!F$6-1)+3)</f>
        <v>14685984375.9429</v>
      </c>
      <c r="G41" s="164" t="n">
        <f aca="false">INDEX(Perf_Prod!$C$98:$Q$98,3*(Unit_Cost!G$6-1)+3)</f>
        <v>14685984375.9429</v>
      </c>
      <c r="H41" s="164" t="n">
        <f aca="false">INDEX(Perf_Prod!$C$98:$Q$98,3*(Unit_Cost!H$6-1)+3)</f>
        <v>14685984375.9429</v>
      </c>
      <c r="I41" s="164" t="n">
        <f aca="false">INDEX(Perf_Prod!$C$98:$Q$98,3*(Unit_Cost!I$6-1)+3)</f>
        <v>16941591354.3218</v>
      </c>
      <c r="J41" s="164" t="n">
        <f aca="false">INDEX(Perf_Prod!$C$98:$Q$98,3*(Unit_Cost!J$6-1)+3)</f>
        <v>16941591354.3218</v>
      </c>
      <c r="K41" s="164" t="n">
        <f aca="false">INDEX(Perf_Prod!$C$98:$Q$98,3*(Unit_Cost!K$6-1)+3)</f>
        <v>16941591354.3218</v>
      </c>
      <c r="L41" s="164" t="n">
        <f aca="false">INDEX(Perf_Prod!$C$98:$Q$98,3*(Unit_Cost!L$6-1)+3)</f>
        <v>39187225969.8546</v>
      </c>
      <c r="M41" s="164" t="n">
        <f aca="false">INDEX(Perf_Prod!$C$98:$Q$98,3*(Unit_Cost!M$6-1)+3)</f>
        <v>39187225969.8546</v>
      </c>
      <c r="N41" s="164" t="n">
        <f aca="false">INDEX(Perf_Prod!$C$98:$Q$98,3*(Unit_Cost!N$6-1)+3)</f>
        <v>39187225969.8546</v>
      </c>
      <c r="O41" s="164" t="n">
        <f aca="false">INDEX(Perf_Prod!$C$98:$Q$98,3*(Unit_Cost!O$6-1)+3)</f>
        <v>57760514272.72</v>
      </c>
      <c r="P41" s="164" t="n">
        <f aca="false">INDEX(Perf_Prod!$C$98:$Q$98,3*(Unit_Cost!P$6-1)+3)</f>
        <v>57760514272.72</v>
      </c>
      <c r="Q41" s="164" t="n">
        <f aca="false">INDEX(Perf_Prod!$C$98:$Q$98,3*(Unit_Cost!Q$6-1)+3)</f>
        <v>57760514272.72</v>
      </c>
      <c r="S41" s="164" t="n">
        <f aca="false">INDEX(Perf_Prod!$S$98:$AG$98,3*(Unit_Cost!C$6-1)+3)</f>
        <v>3876518295.93805</v>
      </c>
      <c r="T41" s="164" t="n">
        <f aca="false">INDEX(Perf_Prod!$S$98:$AG$98,3*(Unit_Cost!D$6-1)+3)</f>
        <v>3876518295.93805</v>
      </c>
      <c r="U41" s="164" t="n">
        <f aca="false">INDEX(Perf_Prod!$S$98:$AG$98,3*(Unit_Cost!E$6-1)+3)</f>
        <v>3876518295.93805</v>
      </c>
      <c r="V41" s="164" t="n">
        <f aca="false">INDEX(Perf_Prod!$S$98:$AG$98,3*(Unit_Cost!F$6-1)+3)</f>
        <v>20041838664.2467</v>
      </c>
      <c r="W41" s="164" t="n">
        <f aca="false">INDEX(Perf_Prod!$S$98:$AG$98,3*(Unit_Cost!G$6-1)+3)</f>
        <v>20041838664.2467</v>
      </c>
      <c r="X41" s="164" t="n">
        <f aca="false">INDEX(Perf_Prod!$S$98:$AG$98,3*(Unit_Cost!H$6-1)+3)</f>
        <v>20041838664.2467</v>
      </c>
      <c r="Y41" s="164" t="n">
        <f aca="false">INDEX(Perf_Prod!$S$98:$AG$98,3*(Unit_Cost!I$6-1)+3)</f>
        <v>24234237528.7831</v>
      </c>
      <c r="Z41" s="164" t="n">
        <f aca="false">INDEX(Perf_Prod!$S$98:$AG$98,3*(Unit_Cost!J$6-1)+3)</f>
        <v>24234237528.7831</v>
      </c>
      <c r="AA41" s="164" t="n">
        <f aca="false">INDEX(Perf_Prod!$S$98:$AG$98,3*(Unit_Cost!K$6-1)+3)</f>
        <v>24234237528.7831</v>
      </c>
      <c r="AB41" s="164" t="n">
        <f aca="false">INDEX(Perf_Prod!$S$98:$AG$98,3*(Unit_Cost!L$6-1)+3)</f>
        <v>51167890551.5595</v>
      </c>
      <c r="AC41" s="164" t="n">
        <f aca="false">INDEX(Perf_Prod!$S$98:$AG$98,3*(Unit_Cost!M$6-1)+3)</f>
        <v>51167890551.5595</v>
      </c>
      <c r="AD41" s="164" t="n">
        <f aca="false">INDEX(Perf_Prod!$S$98:$AG$98,3*(Unit_Cost!N$6-1)+3)</f>
        <v>51167890551.5595</v>
      </c>
      <c r="AE41" s="164" t="n">
        <f aca="false">INDEX(Perf_Prod!$S$98:$AG$98,3*(Unit_Cost!O$6-1)+3)</f>
        <v>74400955991.7707</v>
      </c>
      <c r="AF41" s="164" t="n">
        <f aca="false">INDEX(Perf_Prod!$S$98:$AG$98,3*(Unit_Cost!P$6-1)+3)</f>
        <v>74400955991.7707</v>
      </c>
      <c r="AG41" s="164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2337</v>
      </c>
      <c r="B43" s="56" t="s">
        <v>795</v>
      </c>
      <c r="C43" s="92" t="n">
        <f aca="false">Unit_Cost_Prod!C42</f>
        <v>0.523863410119276</v>
      </c>
      <c r="D43" s="92" t="n">
        <f aca="false">Unit_Cost_Prod!D42</f>
        <v>0.748496026611284</v>
      </c>
      <c r="E43" s="92" t="n">
        <f aca="false">Unit_Cost_Prod!E42</f>
        <v>1.28544297977104</v>
      </c>
      <c r="F43" s="92" t="n">
        <f aca="false">Unit_Cost_Prod!F42</f>
        <v>0.0721850307521153</v>
      </c>
      <c r="G43" s="92" t="n">
        <f aca="false">Unit_Cost_Prod!G42</f>
        <v>0.0963822006302029</v>
      </c>
      <c r="H43" s="92" t="n">
        <f aca="false">Unit_Cost_Prod!H42</f>
        <v>0.156324181368484</v>
      </c>
      <c r="I43" s="92" t="n">
        <f aca="false">Unit_Cost_Prod!I42</f>
        <v>0.0632081138803821</v>
      </c>
      <c r="J43" s="92" t="n">
        <f aca="false">Unit_Cost_Prod!J42</f>
        <v>0.0816369369835597</v>
      </c>
      <c r="K43" s="92" t="n">
        <f aca="false">Unit_Cost_Prod!K42</f>
        <v>0.138990865468262</v>
      </c>
      <c r="L43" s="92" t="n">
        <f aca="false">Unit_Cost_Prod!L42</f>
        <v>0.0510310736456061</v>
      </c>
      <c r="M43" s="92" t="n">
        <f aca="false">Unit_Cost_Prod!M42</f>
        <v>0.0655880851812597</v>
      </c>
      <c r="N43" s="92" t="n">
        <f aca="false">Unit_Cost_Prod!N42</f>
        <v>0.105959582651786</v>
      </c>
      <c r="O43" s="92" t="n">
        <f aca="false">Unit_Cost_Prod!O42</f>
        <v>0.0405940426595394</v>
      </c>
      <c r="P43" s="92" t="n">
        <f aca="false">Unit_Cost_Prod!P42</f>
        <v>0.0616973787501149</v>
      </c>
      <c r="Q43" s="92" t="n">
        <f aca="false">Unit_Cost_Prod!Q42</f>
        <v>0.112631123844221</v>
      </c>
      <c r="S43" s="92" t="n">
        <f aca="false">Unit_Cost_Prod!S42</f>
        <v>0.445283898601385</v>
      </c>
      <c r="T43" s="92" t="n">
        <f aca="false">Unit_Cost_Prod!T42</f>
        <v>0.636221622619591</v>
      </c>
      <c r="U43" s="92" t="n">
        <f aca="false">Unit_Cost_Prod!U42</f>
        <v>1.09262653280539</v>
      </c>
      <c r="V43" s="92" t="n">
        <f aca="false">Unit_Cost_Prod!V42</f>
        <v>0.061357276139298</v>
      </c>
      <c r="W43" s="92" t="n">
        <f aca="false">Unit_Cost_Prod!W42</f>
        <v>0.0819248705356724</v>
      </c>
      <c r="X43" s="92" t="n">
        <f aca="false">Unit_Cost_Prod!X42</f>
        <v>0.132875554163212</v>
      </c>
      <c r="Y43" s="92" t="n">
        <f aca="false">Unit_Cost_Prod!Y42</f>
        <v>0.0537268967983248</v>
      </c>
      <c r="Z43" s="92" t="n">
        <f aca="false">Unit_Cost_Prod!Z42</f>
        <v>0.0693913964360257</v>
      </c>
      <c r="AA43" s="92" t="n">
        <f aca="false">Unit_Cost_Prod!AA42</f>
        <v>0.118142235648023</v>
      </c>
      <c r="AB43" s="92" t="n">
        <f aca="false">Unit_Cost_Prod!AB42</f>
        <v>0.0433764125987652</v>
      </c>
      <c r="AC43" s="92" t="n">
        <f aca="false">Unit_Cost_Prod!AC42</f>
        <v>0.0557498724040708</v>
      </c>
      <c r="AD43" s="92" t="n">
        <f aca="false">Unit_Cost_Prod!AD42</f>
        <v>0.0900656452540185</v>
      </c>
      <c r="AE43" s="92" t="n">
        <f aca="false">Unit_Cost_Prod!AE42</f>
        <v>0.0345049362606085</v>
      </c>
      <c r="AF43" s="92" t="n">
        <f aca="false">Unit_Cost_Prod!AF42</f>
        <v>0.0524427719375976</v>
      </c>
      <c r="AG43" s="92" t="n">
        <f aca="false">Unit_Cost_Prod!AG42</f>
        <v>0.0957364552675877</v>
      </c>
    </row>
    <row r="45" customFormat="false" ht="15" hidden="false" customHeight="false" outlineLevel="0" collapsed="false">
      <c r="A45" s="59" t="s">
        <v>2338</v>
      </c>
      <c r="B45" s="56" t="s">
        <v>795</v>
      </c>
      <c r="C45" s="114" t="n">
        <f aca="false">Unit_Cost_Prod!C44</f>
        <v>28.2309872416305</v>
      </c>
      <c r="D45" s="114" t="n">
        <f aca="false">Unit_Cost_Prod!D44</f>
        <v>40.336433828931</v>
      </c>
      <c r="E45" s="114" t="n">
        <f aca="false">Unit_Cost_Prod!E44</f>
        <v>69.2724929070678</v>
      </c>
      <c r="F45" s="114" t="n">
        <f aca="false">Unit_Cost_Prod!F44</f>
        <v>3.47443380772583</v>
      </c>
      <c r="G45" s="114" t="n">
        <f aca="false">Unit_Cost_Prod!G44</f>
        <v>4.63910000236133</v>
      </c>
      <c r="H45" s="114" t="n">
        <f aca="false">Unit_Cost_Prod!H44</f>
        <v>7.52424727194302</v>
      </c>
      <c r="I45" s="114" t="n">
        <f aca="false">Unit_Cost_Prod!I44</f>
        <v>3.97207808848589</v>
      </c>
      <c r="J45" s="114" t="n">
        <f aca="false">Unit_Cost_Prod!J44</f>
        <v>5.13016871880025</v>
      </c>
      <c r="K45" s="114" t="n">
        <f aca="false">Unit_Cost_Prod!K44</f>
        <v>8.73436236795422</v>
      </c>
      <c r="L45" s="114" t="n">
        <f aca="false">Unit_Cost_Prod!L44</f>
        <v>1.77635851553715</v>
      </c>
      <c r="M45" s="114" t="n">
        <f aca="false">Unit_Cost_Prod!M44</f>
        <v>2.28307862849635</v>
      </c>
      <c r="N45" s="114" t="n">
        <f aca="false">Unit_Cost_Prod!N44</f>
        <v>3.68838422356943</v>
      </c>
      <c r="O45" s="114" t="n">
        <f aca="false">Unit_Cost_Prod!O44</f>
        <v>1.24938361168957</v>
      </c>
      <c r="P45" s="114" t="n">
        <f aca="false">Unit_Cost_Prod!P44</f>
        <v>1.89889177929619</v>
      </c>
      <c r="Q45" s="114" t="n">
        <f aca="false">Unit_Cost_Prod!Q44</f>
        <v>3.46650570078365</v>
      </c>
      <c r="S45" s="114" t="n">
        <f aca="false">Unit_Cost_Prod!S44</f>
        <v>12.2043697021718</v>
      </c>
      <c r="T45" s="114" t="n">
        <f aca="false">Unit_Cost_Prod!T44</f>
        <v>17.437603109732</v>
      </c>
      <c r="U45" s="114" t="n">
        <f aca="false">Unit_Cost_Prod!U44</f>
        <v>29.9467782119297</v>
      </c>
      <c r="V45" s="114" t="n">
        <f aca="false">Unit_Cost_Prod!V44</f>
        <v>2.47824794341068</v>
      </c>
      <c r="W45" s="114" t="n">
        <f aca="false">Unit_Cost_Prod!W44</f>
        <v>3.30898231952609</v>
      </c>
      <c r="X45" s="114" t="n">
        <f aca="false">Unit_Cost_Prod!X44</f>
        <v>5.36690331700735</v>
      </c>
      <c r="Y45" s="114" t="n">
        <f aca="false">Unit_Cost_Prod!Y44</f>
        <v>2.70047072784554</v>
      </c>
      <c r="Z45" s="114" t="n">
        <f aca="false">Unit_Cost_Prod!Z44</f>
        <v>3.48781422353906</v>
      </c>
      <c r="AA45" s="114" t="n">
        <f aca="false">Unit_Cost_Prod!AA44</f>
        <v>5.93817376587556</v>
      </c>
      <c r="AB45" s="114" t="n">
        <f aca="false">Unit_Cost_Prod!AB44</f>
        <v>1.32608273033948</v>
      </c>
      <c r="AC45" s="114" t="n">
        <f aca="false">Unit_Cost_Prod!AC44</f>
        <v>1.70435816575049</v>
      </c>
      <c r="AD45" s="114" t="n">
        <f aca="false">Unit_Cost_Prod!AD44</f>
        <v>2.7534433949855</v>
      </c>
      <c r="AE45" s="114" t="n">
        <f aca="false">Unit_Cost_Prod!AE44</f>
        <v>0.946026825683234</v>
      </c>
      <c r="AF45" s="114" t="n">
        <f aca="false">Unit_Cost_Prod!AF44</f>
        <v>1.43783105963287</v>
      </c>
      <c r="AG45" s="114" t="n">
        <f aca="false">Unit_Cost_Prod!AG44</f>
        <v>2.62482023426766</v>
      </c>
    </row>
    <row r="60" customFormat="false" ht="15" hidden="false" customHeight="false" outlineLevel="0" collapsed="false">
      <c r="A60" s="58" t="s">
        <v>2339</v>
      </c>
      <c r="B60" s="56" t="s">
        <v>865</v>
      </c>
      <c r="C60" s="164" t="n">
        <f aca="false">IF(ISNUMBER(INDEX(Training_Prod!$C$120:$Q$120,3*(Unit_Cost!C$6-1)+1)),INDEX(Training_Prod!$C$120:$Q$120,3*(Unit_Cost!C$6-1)+1)*Unit_Cost!C$8/1000000,INDEX(Training_Prod!$C$120:$Q$120,3*(Unit_Cost!C$6-1)+1))</f>
        <v>62.4155150508185</v>
      </c>
      <c r="D60" s="164" t="n">
        <f aca="false">IF(ISNUMBER(INDEX(Training_Prod!$C$120:$Q$120,3*(Unit_Cost!D$6-1)+1)),INDEX(Training_Prod!$C$120:$Q$120,3*(Unit_Cost!D$6-1)+1)*Unit_Cost!D$8/1000000,INDEX(Training_Prod!$C$120:$Q$120,3*(Unit_Cost!D$6-1)+1))</f>
        <v>89.1792862643289</v>
      </c>
      <c r="E60" s="164" t="n">
        <f aca="false">IF(ISNUMBER(INDEX(Training_Prod!$C$120:$Q$120,3*(Unit_Cost!E$6-1)+1)),INDEX(Training_Prod!$C$120:$Q$120,3*(Unit_Cost!E$6-1)+1)*Unit_Cost!E$8/1000000,INDEX(Training_Prod!$C$120:$Q$120,3*(Unit_Cost!E$6-1)+1))</f>
        <v>153.153635281764</v>
      </c>
      <c r="F60" s="164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64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64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64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64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64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64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64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64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64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64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64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64" t="n">
        <f aca="false">IF(ISNUMBER(INDEX(Training_Prod!$S$120:$AG$120,3*(Unit_Cost!C$6-1)+1)),INDEX(Training_Prod!$S$120:$AG$120,3*(Unit_Cost!C$6-1)+1)*Unit_Cost!C$8/1000000,INDEX(Training_Prod!$S$120:$AG$120,3*(Unit_Cost!C$6-1)+1))</f>
        <v>55.2274524338284</v>
      </c>
      <c r="T60" s="164" t="n">
        <f aca="false">IF(ISNUMBER(INDEX(Training_Prod!$S$120:$AG$120,3*(Unit_Cost!D$6-1)+1)),INDEX(Training_Prod!$S$120:$AG$120,3*(Unit_Cost!D$6-1)+1)*Unit_Cost!D$8/1000000,INDEX(Training_Prod!$S$120:$AG$120,3*(Unit_Cost!D$6-1)+1))</f>
        <v>78.9089825860758</v>
      </c>
      <c r="U60" s="164" t="n">
        <f aca="false">IF(ISNUMBER(INDEX(Training_Prod!$S$120:$AG$120,3*(Unit_Cost!E$6-1)+1)),INDEX(Training_Prod!$S$120:$AG$120,3*(Unit_Cost!E$6-1)+1)*Unit_Cost!E$8/1000000,INDEX(Training_Prod!$S$120:$AG$120,3*(Unit_Cost!E$6-1)+1))</f>
        <v>135.515746376599</v>
      </c>
      <c r="V60" s="164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64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64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64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64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64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64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64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64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64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64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64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58" t="s">
        <v>2340</v>
      </c>
      <c r="B69" s="56" t="s">
        <v>865</v>
      </c>
      <c r="C69" s="164" t="n">
        <f aca="false">IF(ISNUMBER(INDEX(Training_Prod!$C$120:$Q$120,3*(Unit_Cost!C$6-1)+2)),INDEX(Training_Prod!$C$120:$Q$120,3*(Unit_Cost!C$6-1)+2)*Unit_Cost!C$8/1000000,INDEX(Training_Prod!$C$120:$Q$120,3*(Unit_Cost!C$6-1)+2))</f>
        <v>173.572457089909</v>
      </c>
      <c r="D69" s="164" t="n">
        <f aca="false">IF(ISNUMBER(INDEX(Training_Prod!$C$120:$Q$120,3*(Unit_Cost!D$6-1)+2)),INDEX(Training_Prod!$C$120:$Q$120,3*(Unit_Cost!D$6-1)+2)*Unit_Cost!D$8/1000000,INDEX(Training_Prod!$C$120:$Q$120,3*(Unit_Cost!D$6-1)+2))</f>
        <v>248.000322128575</v>
      </c>
      <c r="E69" s="164" t="n">
        <f aca="false">IF(ISNUMBER(INDEX(Training_Prod!$C$120:$Q$120,3*(Unit_Cost!E$6-1)+2)),INDEX(Training_Prod!$C$120:$Q$120,3*(Unit_Cost!E$6-1)+2)*Unit_Cost!E$8/1000000,INDEX(Training_Prod!$C$120:$Q$120,3*(Unit_Cost!E$6-1)+2))</f>
        <v>425.907769349711</v>
      </c>
      <c r="F69" s="164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64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64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64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64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64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64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64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64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64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64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64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64" t="n">
        <f aca="false">IF(ISNUMBER(INDEX(Training_Prod!$S$120:$AG$120,3*(Unit_Cost!C$6-1)+2)),INDEX(Training_Prod!$S$120:$AG$120,3*(Unit_Cost!C$6-1)+2)*Unit_Cost!C$8/1000000,INDEX(Training_Prod!$S$120:$AG$120,3*(Unit_Cost!C$6-1)+2))</f>
        <v>157.188196940514</v>
      </c>
      <c r="T69" s="164" t="n">
        <f aca="false">IF(ISNUMBER(INDEX(Training_Prod!$S$120:$AG$120,3*(Unit_Cost!D$6-1)+2)),INDEX(Training_Prod!$S$120:$AG$120,3*(Unit_Cost!D$6-1)+2)*Unit_Cost!D$8/1000000,INDEX(Training_Prod!$S$120:$AG$120,3*(Unit_Cost!D$6-1)+2))</f>
        <v>224.590491657698</v>
      </c>
      <c r="U69" s="164" t="n">
        <f aca="false">IF(ISNUMBER(INDEX(Training_Prod!$S$120:$AG$120,3*(Unit_Cost!E$6-1)+2)),INDEX(Training_Prod!$S$120:$AG$120,3*(Unit_Cost!E$6-1)+2)*Unit_Cost!E$8/1000000,INDEX(Training_Prod!$S$120:$AG$120,3*(Unit_Cost!E$6-1)+2))</f>
        <v>385.704480131656</v>
      </c>
      <c r="V69" s="164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64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64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64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64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64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64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64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64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64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64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64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58" t="s">
        <v>2341</v>
      </c>
      <c r="B78" s="56" t="s">
        <v>865</v>
      </c>
      <c r="C78" s="164" t="n">
        <f aca="false">IF(ISNUMBER(INDEX(Training_Prod!$C$120:$Q$120,3*(Unit_Cost!C$6-1)+3)),INDEX(Training_Prod!$C$120:$Q$120,3*(Unit_Cost!C$6-1)+3)*Unit_Cost!C$8/1000000,INDEX(Training_Prod!$C$120:$Q$120,3*(Unit_Cost!C$6-1)+3))</f>
        <v>1060.61145487942</v>
      </c>
      <c r="D78" s="164" t="n">
        <f aca="false">IF(ISNUMBER(INDEX(Training_Prod!$C$120:$Q$120,3*(Unit_Cost!D$6-1)+3)),INDEX(Training_Prod!$C$120:$Q$120,3*(Unit_Cost!D$6-1)+3)*Unit_Cost!D$8/1000000,INDEX(Training_Prod!$C$120:$Q$120,3*(Unit_Cost!D$6-1)+3))</f>
        <v>1515.40161885883</v>
      </c>
      <c r="E78" s="164" t="n">
        <f aca="false">IF(ISNUMBER(INDEX(Training_Prod!$C$120:$Q$120,3*(Unit_Cost!E$6-1)+3)),INDEX(Training_Prod!$C$120:$Q$120,3*(Unit_Cost!E$6-1)+3)*Unit_Cost!E$8/1000000,INDEX(Training_Prod!$C$120:$Q$120,3*(Unit_Cost!E$6-1)+3))</f>
        <v>2602.50195490669</v>
      </c>
      <c r="F78" s="164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64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64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64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64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64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64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64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64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64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64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64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64" t="n">
        <f aca="false">IF(ISNUMBER(INDEX(Training_Prod!$S$120:$AG$120,3*(Unit_Cost!C$6-1)+3)),INDEX(Training_Prod!$S$120:$AG$120,3*(Unit_Cost!C$6-1)+3)*Unit_Cost!C$8/1000000,INDEX(Training_Prod!$S$120:$AG$120,3*(Unit_Cost!C$6-1)+3))</f>
        <v>968.946393983648</v>
      </c>
      <c r="T78" s="164" t="n">
        <f aca="false">IF(ISNUMBER(INDEX(Training_Prod!$S$120:$AG$120,3*(Unit_Cost!D$6-1)+3)),INDEX(Training_Prod!$S$120:$AG$120,3*(Unit_Cost!D$6-1)+3)*Unit_Cost!D$8/1000000,INDEX(Training_Prod!$S$120:$AG$120,3*(Unit_Cost!D$6-1)+3))</f>
        <v>1384.43058225991</v>
      </c>
      <c r="U78" s="164" t="n">
        <f aca="false">IF(ISNUMBER(INDEX(Training_Prod!$S$120:$AG$120,3*(Unit_Cost!E$6-1)+3)),INDEX(Training_Prod!$S$120:$AG$120,3*(Unit_Cost!E$6-1)+3)*Unit_Cost!E$8/1000000,INDEX(Training_Prod!$S$120:$AG$120,3*(Unit_Cost!E$6-1)+3))</f>
        <v>2377.57651300204</v>
      </c>
      <c r="V78" s="164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64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64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64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64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64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64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64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64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64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64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64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2342</v>
      </c>
    </row>
    <row r="2" customFormat="false" ht="15" hidden="false" customHeight="false" outlineLevel="0" collapsed="false">
      <c r="A2" s="71" t="s">
        <v>2343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Fleet_1GW!A4</f>
        <v>世代</v>
      </c>
      <c r="C4" s="90" t="str">
        <f aca="false">Fleet_1GW!C4</f>
        <v>Hopper H100</v>
      </c>
      <c r="D4" s="90" t="str">
        <f aca="false">Fleet_1GW!D4</f>
        <v>Hopper H100</v>
      </c>
      <c r="E4" s="90" t="str">
        <f aca="false">Fleet_1GW!E4</f>
        <v>Hopper H100</v>
      </c>
      <c r="F4" s="90" t="str">
        <f aca="false">Fleet_1GW!F4</f>
        <v>GB200 NVL72</v>
      </c>
      <c r="G4" s="90" t="str">
        <f aca="false">Fleet_1GW!G4</f>
        <v>GB200 NVL72</v>
      </c>
      <c r="H4" s="90" t="str">
        <f aca="false">Fleet_1GW!H4</f>
        <v>GB200 NVL72</v>
      </c>
      <c r="I4" s="90" t="str">
        <f aca="false">Fleet_1GW!I4</f>
        <v>GB300 NVL72</v>
      </c>
      <c r="J4" s="90" t="str">
        <f aca="false">Fleet_1GW!J4</f>
        <v>GB300 NVL72</v>
      </c>
      <c r="K4" s="90" t="str">
        <f aca="false">Fleet_1GW!K4</f>
        <v>GB300 NVL72</v>
      </c>
      <c r="L4" s="90" t="str">
        <f aca="false">Fleet_1GW!L4</f>
        <v>VR200 NVL72</v>
      </c>
      <c r="M4" s="90" t="str">
        <f aca="false">Fleet_1GW!M4</f>
        <v>VR200 NVL72</v>
      </c>
      <c r="N4" s="90" t="str">
        <f aca="false">Fleet_1GW!N4</f>
        <v>VR200 NVL72</v>
      </c>
      <c r="O4" s="90" t="str">
        <f aca="false">Fleet_1GW!O4</f>
        <v>Rubin Ultra（MGX NVL 單架，72 GPU）</v>
      </c>
      <c r="P4" s="90" t="str">
        <f aca="false">Fleet_1GW!P4</f>
        <v>Rubin Ultra（MGX NVL 單架，72 GPU）</v>
      </c>
      <c r="Q4" s="90" t="str">
        <f aca="false">Fleet_1GW!Q4</f>
        <v>Rubin Ultra（MGX NVL 單架，72 GPU）</v>
      </c>
      <c r="S4" s="90" t="str">
        <f aca="false">Fleet_1GW!C4</f>
        <v>Hopper H100</v>
      </c>
      <c r="T4" s="90" t="str">
        <f aca="false">Fleet_1GW!D4</f>
        <v>Hopper H100</v>
      </c>
      <c r="U4" s="90" t="str">
        <f aca="false">Fleet_1GW!E4</f>
        <v>Hopper H100</v>
      </c>
      <c r="V4" s="90" t="str">
        <f aca="false">Fleet_1GW!F4</f>
        <v>GB200 NVL72</v>
      </c>
      <c r="W4" s="90" t="str">
        <f aca="false">Fleet_1GW!G4</f>
        <v>GB200 NVL72</v>
      </c>
      <c r="X4" s="90" t="str">
        <f aca="false">Fleet_1GW!H4</f>
        <v>GB200 NVL72</v>
      </c>
      <c r="Y4" s="90" t="str">
        <f aca="false">Fleet_1GW!I4</f>
        <v>GB300 NVL72</v>
      </c>
      <c r="Z4" s="90" t="str">
        <f aca="false">Fleet_1GW!J4</f>
        <v>GB300 NVL72</v>
      </c>
      <c r="AA4" s="90" t="str">
        <f aca="false">Fleet_1GW!K4</f>
        <v>GB300 NVL72</v>
      </c>
      <c r="AB4" s="90" t="str">
        <f aca="false">Fleet_1GW!L4</f>
        <v>VR200 NVL72</v>
      </c>
      <c r="AC4" s="90" t="str">
        <f aca="false">Fleet_1GW!M4</f>
        <v>VR200 NVL72</v>
      </c>
      <c r="AD4" s="90" t="str">
        <f aca="false">Fleet_1GW!N4</f>
        <v>VR200 NVL72</v>
      </c>
      <c r="AE4" s="90" t="str">
        <f aca="false">Fleet_1GW!O4</f>
        <v>Rubin Ultra（MGX NVL 單架，72 GPU）</v>
      </c>
      <c r="AF4" s="90" t="str">
        <f aca="false">Fleet_1GW!P4</f>
        <v>Rubin Ultra（MGX NVL 單架，72 GPU）</v>
      </c>
      <c r="AG4" s="90" t="str">
        <f aca="false">Fleet_1GW!Q4</f>
        <v>Rubin Ultra（MGX NVL 單架，72 GPU）</v>
      </c>
    </row>
    <row r="5" customFormat="false" ht="15" hidden="false" customHeight="false" outlineLevel="0" collapsed="false">
      <c r="A5" s="90" t="str">
        <f aca="false">Fleet_1GW!A5</f>
        <v>成本情境</v>
      </c>
      <c r="C5" s="90" t="str">
        <f aca="false">Fleet_1GW!C5</f>
        <v>低成本</v>
      </c>
      <c r="D5" s="90" t="str">
        <f aca="false">Fleet_1GW!D5</f>
        <v>基準</v>
      </c>
      <c r="E5" s="90" t="str">
        <f aca="false">Fleet_1GW!E5</f>
        <v>高成本</v>
      </c>
      <c r="F5" s="90" t="str">
        <f aca="false">Fleet_1GW!F5</f>
        <v>低成本</v>
      </c>
      <c r="G5" s="90" t="str">
        <f aca="false">Fleet_1GW!G5</f>
        <v>基準</v>
      </c>
      <c r="H5" s="90" t="str">
        <f aca="false">Fleet_1GW!H5</f>
        <v>高成本</v>
      </c>
      <c r="I5" s="90" t="str">
        <f aca="false">Fleet_1GW!I5</f>
        <v>低成本</v>
      </c>
      <c r="J5" s="90" t="str">
        <f aca="false">Fleet_1GW!J5</f>
        <v>基準</v>
      </c>
      <c r="K5" s="90" t="str">
        <f aca="false">Fleet_1GW!K5</f>
        <v>高成本</v>
      </c>
      <c r="L5" s="90" t="str">
        <f aca="false">Fleet_1GW!L5</f>
        <v>低成本</v>
      </c>
      <c r="M5" s="90" t="str">
        <f aca="false">Fleet_1GW!M5</f>
        <v>基準</v>
      </c>
      <c r="N5" s="90" t="str">
        <f aca="false">Fleet_1GW!N5</f>
        <v>高成本</v>
      </c>
      <c r="O5" s="90" t="str">
        <f aca="false">Fleet_1GW!O5</f>
        <v>低成本</v>
      </c>
      <c r="P5" s="90" t="str">
        <f aca="false">Fleet_1GW!P5</f>
        <v>基準</v>
      </c>
      <c r="Q5" s="90" t="str">
        <f aca="false">Fleet_1GW!Q5</f>
        <v>高成本</v>
      </c>
      <c r="S5" s="90" t="str">
        <f aca="false">Fleet_1GW!C5</f>
        <v>低成本</v>
      </c>
      <c r="T5" s="90" t="str">
        <f aca="false">Fleet_1GW!D5</f>
        <v>基準</v>
      </c>
      <c r="U5" s="90" t="str">
        <f aca="false">Fleet_1GW!E5</f>
        <v>高成本</v>
      </c>
      <c r="V5" s="90" t="str">
        <f aca="false">Fleet_1GW!F5</f>
        <v>低成本</v>
      </c>
      <c r="W5" s="90" t="str">
        <f aca="false">Fleet_1GW!G5</f>
        <v>基準</v>
      </c>
      <c r="X5" s="90" t="str">
        <f aca="false">Fleet_1GW!H5</f>
        <v>高成本</v>
      </c>
      <c r="Y5" s="90" t="str">
        <f aca="false">Fleet_1GW!I5</f>
        <v>低成本</v>
      </c>
      <c r="Z5" s="90" t="str">
        <f aca="false">Fleet_1GW!J5</f>
        <v>基準</v>
      </c>
      <c r="AA5" s="90" t="str">
        <f aca="false">Fleet_1GW!K5</f>
        <v>高成本</v>
      </c>
      <c r="AB5" s="90" t="str">
        <f aca="false">Fleet_1GW!L5</f>
        <v>低成本</v>
      </c>
      <c r="AC5" s="90" t="str">
        <f aca="false">Fleet_1GW!M5</f>
        <v>基準</v>
      </c>
      <c r="AD5" s="90" t="str">
        <f aca="false">Fleet_1GW!N5</f>
        <v>高成本</v>
      </c>
      <c r="AE5" s="90" t="str">
        <f aca="false">Fleet_1GW!O5</f>
        <v>低成本</v>
      </c>
      <c r="AF5" s="90" t="str">
        <f aca="false">Fleet_1GW!P5</f>
        <v>基準</v>
      </c>
      <c r="AG5" s="90" t="str">
        <f aca="false">Fleet_1GW!Q5</f>
        <v>高成本</v>
      </c>
    </row>
    <row r="6" customFormat="false" ht="15" hidden="false" customHeight="false" outlineLevel="0" collapsed="false">
      <c r="A6" s="90" t="str">
        <f aca="false">Fleet_1GW!A6</f>
        <v>世代索引</v>
      </c>
      <c r="C6" s="87" t="n">
        <f aca="false">Fleet_1GW!C6</f>
        <v>1</v>
      </c>
      <c r="D6" s="87" t="n">
        <f aca="false">Fleet_1GW!D6</f>
        <v>1</v>
      </c>
      <c r="E6" s="87" t="n">
        <f aca="false">Fleet_1GW!E6</f>
        <v>1</v>
      </c>
      <c r="F6" s="87" t="n">
        <f aca="false">Fleet_1GW!F6</f>
        <v>2</v>
      </c>
      <c r="G6" s="87" t="n">
        <f aca="false">Fleet_1GW!G6</f>
        <v>2</v>
      </c>
      <c r="H6" s="87" t="n">
        <f aca="false">Fleet_1GW!H6</f>
        <v>2</v>
      </c>
      <c r="I6" s="87" t="n">
        <f aca="false">Fleet_1GW!I6</f>
        <v>3</v>
      </c>
      <c r="J6" s="87" t="n">
        <f aca="false">Fleet_1GW!J6</f>
        <v>3</v>
      </c>
      <c r="K6" s="87" t="n">
        <f aca="false">Fleet_1GW!K6</f>
        <v>3</v>
      </c>
      <c r="L6" s="87" t="n">
        <f aca="false">Fleet_1GW!L6</f>
        <v>4</v>
      </c>
      <c r="M6" s="87" t="n">
        <f aca="false">Fleet_1GW!M6</f>
        <v>4</v>
      </c>
      <c r="N6" s="87" t="n">
        <f aca="false">Fleet_1GW!N6</f>
        <v>4</v>
      </c>
      <c r="O6" s="87" t="n">
        <f aca="false">Fleet_1GW!O6</f>
        <v>5</v>
      </c>
      <c r="P6" s="87" t="n">
        <f aca="false">Fleet_1GW!P6</f>
        <v>5</v>
      </c>
      <c r="Q6" s="87" t="n">
        <f aca="false">Fleet_1GW!Q6</f>
        <v>5</v>
      </c>
      <c r="S6" s="87" t="n">
        <f aca="false">Fleet_1GW!C6</f>
        <v>1</v>
      </c>
      <c r="T6" s="87" t="n">
        <f aca="false">Fleet_1GW!D6</f>
        <v>1</v>
      </c>
      <c r="U6" s="87" t="n">
        <f aca="false">Fleet_1GW!E6</f>
        <v>1</v>
      </c>
      <c r="V6" s="87" t="n">
        <f aca="false">Fleet_1GW!F6</f>
        <v>2</v>
      </c>
      <c r="W6" s="87" t="n">
        <f aca="false">Fleet_1GW!G6</f>
        <v>2</v>
      </c>
      <c r="X6" s="87" t="n">
        <f aca="false">Fleet_1GW!H6</f>
        <v>2</v>
      </c>
      <c r="Y6" s="87" t="n">
        <f aca="false">Fleet_1GW!I6</f>
        <v>3</v>
      </c>
      <c r="Z6" s="87" t="n">
        <f aca="false">Fleet_1GW!J6</f>
        <v>3</v>
      </c>
      <c r="AA6" s="87" t="n">
        <f aca="false">Fleet_1GW!K6</f>
        <v>3</v>
      </c>
      <c r="AB6" s="87" t="n">
        <f aca="false">Fleet_1GW!L6</f>
        <v>4</v>
      </c>
      <c r="AC6" s="87" t="n">
        <f aca="false">Fleet_1GW!M6</f>
        <v>4</v>
      </c>
      <c r="AD6" s="87" t="n">
        <f aca="false">Fleet_1GW!N6</f>
        <v>4</v>
      </c>
      <c r="AE6" s="87" t="n">
        <f aca="false">Fleet_1GW!O6</f>
        <v>5</v>
      </c>
      <c r="AF6" s="87" t="n">
        <f aca="false">Fleet_1GW!P6</f>
        <v>5</v>
      </c>
      <c r="AG6" s="87" t="n">
        <f aca="false">Fleet_1GW!Q6</f>
        <v>5</v>
      </c>
    </row>
    <row r="7" customFormat="false" ht="15" hidden="false" customHeight="false" outlineLevel="0" collapsed="false">
      <c r="A7" s="90" t="str">
        <f aca="false">Fleet_1GW!A7</f>
        <v>欄索引</v>
      </c>
      <c r="C7" s="87" t="n">
        <f aca="false">Fleet_1GW!C7</f>
        <v>1</v>
      </c>
      <c r="D7" s="87" t="n">
        <f aca="false">Fleet_1GW!D7</f>
        <v>2</v>
      </c>
      <c r="E7" s="87" t="n">
        <f aca="false">Fleet_1GW!E7</f>
        <v>3</v>
      </c>
      <c r="F7" s="87" t="n">
        <f aca="false">Fleet_1GW!F7</f>
        <v>4</v>
      </c>
      <c r="G7" s="87" t="n">
        <f aca="false">Fleet_1GW!G7</f>
        <v>5</v>
      </c>
      <c r="H7" s="87" t="n">
        <f aca="false">Fleet_1GW!H7</f>
        <v>6</v>
      </c>
      <c r="I7" s="87" t="n">
        <f aca="false">Fleet_1GW!I7</f>
        <v>7</v>
      </c>
      <c r="J7" s="87" t="n">
        <f aca="false">Fleet_1GW!J7</f>
        <v>8</v>
      </c>
      <c r="K7" s="87" t="n">
        <f aca="false">Fleet_1GW!K7</f>
        <v>9</v>
      </c>
      <c r="L7" s="87" t="n">
        <f aca="false">Fleet_1GW!L7</f>
        <v>10</v>
      </c>
      <c r="M7" s="87" t="n">
        <f aca="false">Fleet_1GW!M7</f>
        <v>11</v>
      </c>
      <c r="N7" s="87" t="n">
        <f aca="false">Fleet_1GW!N7</f>
        <v>12</v>
      </c>
      <c r="O7" s="87" t="n">
        <f aca="false">Fleet_1GW!O7</f>
        <v>13</v>
      </c>
      <c r="P7" s="87" t="n">
        <f aca="false">Fleet_1GW!P7</f>
        <v>14</v>
      </c>
      <c r="Q7" s="87" t="n">
        <f aca="false">Fleet_1GW!Q7</f>
        <v>15</v>
      </c>
      <c r="S7" s="87" t="n">
        <f aca="false">Fleet_1GW!C7</f>
        <v>1</v>
      </c>
      <c r="T7" s="87" t="n">
        <f aca="false">Fleet_1GW!D7</f>
        <v>2</v>
      </c>
      <c r="U7" s="87" t="n">
        <f aca="false">Fleet_1GW!E7</f>
        <v>3</v>
      </c>
      <c r="V7" s="87" t="n">
        <f aca="false">Fleet_1GW!F7</f>
        <v>4</v>
      </c>
      <c r="W7" s="87" t="n">
        <f aca="false">Fleet_1GW!G7</f>
        <v>5</v>
      </c>
      <c r="X7" s="87" t="n">
        <f aca="false">Fleet_1GW!H7</f>
        <v>6</v>
      </c>
      <c r="Y7" s="87" t="n">
        <f aca="false">Fleet_1GW!I7</f>
        <v>7</v>
      </c>
      <c r="Z7" s="87" t="n">
        <f aca="false">Fleet_1GW!J7</f>
        <v>8</v>
      </c>
      <c r="AA7" s="87" t="n">
        <f aca="false">Fleet_1GW!K7</f>
        <v>9</v>
      </c>
      <c r="AB7" s="87" t="n">
        <f aca="false">Fleet_1GW!L7</f>
        <v>10</v>
      </c>
      <c r="AC7" s="87" t="n">
        <f aca="false">Fleet_1GW!M7</f>
        <v>11</v>
      </c>
      <c r="AD7" s="87" t="n">
        <f aca="false">Fleet_1GW!N7</f>
        <v>12</v>
      </c>
      <c r="AE7" s="87" t="n">
        <f aca="false">Fleet_1GW!O7</f>
        <v>13</v>
      </c>
      <c r="AF7" s="87" t="n">
        <f aca="false">Fleet_1GW!P7</f>
        <v>14</v>
      </c>
      <c r="AG7" s="87" t="n">
        <f aca="false">Fleet_1GW!Q7</f>
        <v>15</v>
      </c>
    </row>
    <row r="18" customFormat="false" ht="15" hidden="false" customHeight="false" outlineLevel="0" collapsed="false">
      <c r="A18" s="58" t="s">
        <v>1731</v>
      </c>
      <c r="B18" s="71" t="s">
        <v>1732</v>
      </c>
      <c r="C18" s="87" t="n">
        <f aca="false">IF(AND(Fleet_1GW_Prod!C41&gt;0,Fleet_1GW_Prod!C42&gt;0),1,0)</f>
        <v>1</v>
      </c>
      <c r="D18" s="87" t="n">
        <f aca="false">IF(AND(Fleet_1GW_Prod!D41&gt;0,Fleet_1GW_Prod!D42&gt;0),1,0)</f>
        <v>1</v>
      </c>
      <c r="E18" s="87" t="n">
        <f aca="false">IF(AND(Fleet_1GW_Prod!E41&gt;0,Fleet_1GW_Prod!E42&gt;0),1,0)</f>
        <v>1</v>
      </c>
      <c r="F18" s="87" t="n">
        <f aca="false">IF(AND(Fleet_1GW_Prod!F41&gt;0,Fleet_1GW_Prod!F42&gt;0),1,0)</f>
        <v>1</v>
      </c>
      <c r="G18" s="87" t="n">
        <f aca="false">IF(AND(Fleet_1GW_Prod!G41&gt;0,Fleet_1GW_Prod!G42&gt;0),1,0)</f>
        <v>1</v>
      </c>
      <c r="H18" s="87" t="n">
        <f aca="false">IF(AND(Fleet_1GW_Prod!H41&gt;0,Fleet_1GW_Prod!H42&gt;0),1,0)</f>
        <v>1</v>
      </c>
      <c r="I18" s="87" t="n">
        <f aca="false">IF(AND(Fleet_1GW_Prod!I41&gt;0,Fleet_1GW_Prod!I42&gt;0),1,0)</f>
        <v>1</v>
      </c>
      <c r="J18" s="87" t="n">
        <f aca="false">IF(AND(Fleet_1GW_Prod!J41&gt;0,Fleet_1GW_Prod!J42&gt;0),1,0)</f>
        <v>1</v>
      </c>
      <c r="K18" s="87" t="n">
        <f aca="false">IF(AND(Fleet_1GW_Prod!K41&gt;0,Fleet_1GW_Prod!K42&gt;0),1,0)</f>
        <v>1</v>
      </c>
      <c r="L18" s="87" t="n">
        <f aca="false">IF(AND(Fleet_1GW_Prod!L41&gt;0,Fleet_1GW_Prod!L42&gt;0),1,0)</f>
        <v>1</v>
      </c>
      <c r="M18" s="87" t="n">
        <f aca="false">IF(AND(Fleet_1GW_Prod!M41&gt;0,Fleet_1GW_Prod!M42&gt;0),1,0)</f>
        <v>1</v>
      </c>
      <c r="N18" s="87" t="n">
        <f aca="false">IF(AND(Fleet_1GW_Prod!N41&gt;0,Fleet_1GW_Prod!N42&gt;0),1,0)</f>
        <v>1</v>
      </c>
      <c r="O18" s="87" t="n">
        <f aca="false">IF(AND(Fleet_1GW_Prod!O41&gt;0,Fleet_1GW_Prod!O42&gt;0),1,0)</f>
        <v>1</v>
      </c>
      <c r="P18" s="87" t="n">
        <f aca="false">IF(AND(Fleet_1GW_Prod!P41&gt;0,Fleet_1GW_Prod!P42&gt;0),1,0)</f>
        <v>1</v>
      </c>
      <c r="Q18" s="87" t="n">
        <f aca="false">IF(AND(Fleet_1GW_Prod!Q41&gt;0,Fleet_1GW_Prod!Q42&gt;0),1,0)</f>
        <v>1</v>
      </c>
      <c r="S18" s="87" t="n">
        <f aca="false">IF(AND(Fleet_1GW_Prod!S41&gt;0,Fleet_1GW_Prod!S42&gt;0),1,0)</f>
        <v>1</v>
      </c>
      <c r="T18" s="87" t="n">
        <f aca="false">IF(AND(Fleet_1GW_Prod!T41&gt;0,Fleet_1GW_Prod!T42&gt;0),1,0)</f>
        <v>1</v>
      </c>
      <c r="U18" s="87" t="n">
        <f aca="false">IF(AND(Fleet_1GW_Prod!U41&gt;0,Fleet_1GW_Prod!U42&gt;0),1,0)</f>
        <v>1</v>
      </c>
      <c r="V18" s="87" t="n">
        <f aca="false">IF(AND(Fleet_1GW_Prod!V41&gt;0,Fleet_1GW_Prod!V42&gt;0),1,0)</f>
        <v>1</v>
      </c>
      <c r="W18" s="87" t="n">
        <f aca="false">IF(AND(Fleet_1GW_Prod!W41&gt;0,Fleet_1GW_Prod!W42&gt;0),1,0)</f>
        <v>1</v>
      </c>
      <c r="X18" s="87" t="n">
        <f aca="false">IF(AND(Fleet_1GW_Prod!X41&gt;0,Fleet_1GW_Prod!X42&gt;0),1,0)</f>
        <v>1</v>
      </c>
      <c r="Y18" s="87" t="n">
        <f aca="false">IF(AND(Fleet_1GW_Prod!Y41&gt;0,Fleet_1GW_Prod!Y42&gt;0),1,0)</f>
        <v>1</v>
      </c>
      <c r="Z18" s="87" t="n">
        <f aca="false">IF(AND(Fleet_1GW_Prod!Z41&gt;0,Fleet_1GW_Prod!Z42&gt;0),1,0)</f>
        <v>1</v>
      </c>
      <c r="AA18" s="87" t="n">
        <f aca="false">IF(AND(Fleet_1GW_Prod!AA41&gt;0,Fleet_1GW_Prod!AA42&gt;0),1,0)</f>
        <v>1</v>
      </c>
      <c r="AB18" s="87" t="n">
        <f aca="false">IF(AND(Fleet_1GW_Prod!AB41&gt;0,Fleet_1GW_Prod!AB42&gt;0),1,0)</f>
        <v>1</v>
      </c>
      <c r="AC18" s="87" t="n">
        <f aca="false">IF(AND(Fleet_1GW_Prod!AC41&gt;0,Fleet_1GW_Prod!AC42&gt;0),1,0)</f>
        <v>1</v>
      </c>
      <c r="AD18" s="87" t="n">
        <f aca="false">IF(AND(Fleet_1GW_Prod!AD41&gt;0,Fleet_1GW_Prod!AD42&gt;0),1,0)</f>
        <v>1</v>
      </c>
      <c r="AE18" s="87" t="n">
        <f aca="false">IF(AND(Fleet_1GW_Prod!AE41&gt;0,Fleet_1GW_Prod!AE42&gt;0),1,0)</f>
        <v>1</v>
      </c>
      <c r="AF18" s="87" t="n">
        <f aca="false">IF(AND(Fleet_1GW_Prod!AF41&gt;0,Fleet_1GW_Prod!AF42&gt;0),1,0)</f>
        <v>1</v>
      </c>
      <c r="AG18" s="87" t="n">
        <f aca="false">IF(AND(Fleet_1GW_Prod!AG41&gt;0,Fleet_1GW_Prod!AG42&gt;0),1,0)</f>
        <v>1</v>
      </c>
    </row>
    <row r="19" customFormat="false" ht="15" hidden="false" customHeight="false" outlineLevel="0" collapsed="false">
      <c r="A19" s="58" t="s">
        <v>1733</v>
      </c>
      <c r="B19" s="56" t="s">
        <v>2321</v>
      </c>
      <c r="C19" s="60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1143974071.20593</v>
      </c>
      <c r="D19" s="60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1143974071.20593</v>
      </c>
      <c r="E19" s="60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1143974071.20593</v>
      </c>
      <c r="F19" s="60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7795864294.07022</v>
      </c>
      <c r="G19" s="60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7795864294.07022</v>
      </c>
      <c r="H19" s="60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7795864294.07022</v>
      </c>
      <c r="I19" s="60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9809101351.82166</v>
      </c>
      <c r="J19" s="60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9809101351.82166</v>
      </c>
      <c r="K19" s="60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9809101351.82166</v>
      </c>
      <c r="L19" s="60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19439497354.5752</v>
      </c>
      <c r="M19" s="60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19439497354.5752</v>
      </c>
      <c r="N19" s="60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19439497354.5752</v>
      </c>
      <c r="O19" s="60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27754809229.5331</v>
      </c>
      <c r="P19" s="60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27754809229.5331</v>
      </c>
      <c r="Q19" s="60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27754809229.5331</v>
      </c>
      <c r="S19" s="60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2042606048.98339</v>
      </c>
      <c r="T19" s="60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2042606048.98339</v>
      </c>
      <c r="U19" s="60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2042606048.98339</v>
      </c>
      <c r="V19" s="60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10289624820.3576</v>
      </c>
      <c r="W19" s="60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10289624820.3576</v>
      </c>
      <c r="X19" s="60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10289624820.3576</v>
      </c>
      <c r="Y19" s="60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13396013239.0361</v>
      </c>
      <c r="Z19" s="60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13396013239.0361</v>
      </c>
      <c r="AA19" s="60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13396013239.0361</v>
      </c>
      <c r="AB19" s="60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24850466374.1716</v>
      </c>
      <c r="AC19" s="60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24850466374.1716</v>
      </c>
      <c r="AD19" s="60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24850466374.1716</v>
      </c>
      <c r="AE19" s="60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35155039047.5893</v>
      </c>
      <c r="AF19" s="60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35155039047.5893</v>
      </c>
      <c r="AG19" s="60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35155039047.5893</v>
      </c>
    </row>
    <row r="21" customFormat="false" ht="15" hidden="false" customHeight="false" outlineLevel="0" collapsed="false">
      <c r="A21" s="59" t="s">
        <v>1735</v>
      </c>
      <c r="B21" s="56" t="s">
        <v>2321</v>
      </c>
      <c r="C21" s="60" t="n">
        <f aca="false">IF(AND(Fleet_1GW_Prod!C18=1,Fleet_1GW_Prod!C38=1),Fleet_1GW_Prod!C19*Fleet_1GW_Prod!C44,"SLO 不可達")</f>
        <v>457589628.482374</v>
      </c>
      <c r="D21" s="60" t="n">
        <f aca="false">IF(AND(Fleet_1GW_Prod!D18=1,Fleet_1GW_Prod!D38=1),Fleet_1GW_Prod!D19*Fleet_1GW_Prod!D44,"SLO 不可達")</f>
        <v>457589628.482374</v>
      </c>
      <c r="E21" s="60" t="n">
        <f aca="false">IF(AND(Fleet_1GW_Prod!E18=1,Fleet_1GW_Prod!E38=1),Fleet_1GW_Prod!E19*Fleet_1GW_Prod!E44,"SLO 不可達")</f>
        <v>457589628.482374</v>
      </c>
      <c r="F21" s="60" t="n">
        <f aca="false">IF(AND(Fleet_1GW_Prod!F18=1,Fleet_1GW_Prod!F38=1),Fleet_1GW_Prod!F19*Fleet_1GW_Prod!F44,"SLO 不可達")</f>
        <v>3118345717.62809</v>
      </c>
      <c r="G21" s="60" t="n">
        <f aca="false">IF(AND(Fleet_1GW_Prod!G18=1,Fleet_1GW_Prod!G38=1),Fleet_1GW_Prod!G19*Fleet_1GW_Prod!G44,"SLO 不可達")</f>
        <v>3118345717.62809</v>
      </c>
      <c r="H21" s="60" t="n">
        <f aca="false">IF(AND(Fleet_1GW_Prod!H18=1,Fleet_1GW_Prod!H38=1),Fleet_1GW_Prod!H19*Fleet_1GW_Prod!H44,"SLO 不可達")</f>
        <v>3118345717.62809</v>
      </c>
      <c r="I21" s="60" t="n">
        <f aca="false">IF(AND(Fleet_1GW_Prod!I18=1,Fleet_1GW_Prod!I38=1),Fleet_1GW_Prod!I19*Fleet_1GW_Prod!I44,"SLO 不可達")</f>
        <v>3923640540.72866</v>
      </c>
      <c r="J21" s="60" t="n">
        <f aca="false">IF(AND(Fleet_1GW_Prod!J18=1,Fleet_1GW_Prod!J38=1),Fleet_1GW_Prod!J19*Fleet_1GW_Prod!J44,"SLO 不可達")</f>
        <v>3923640540.72866</v>
      </c>
      <c r="K21" s="60" t="n">
        <f aca="false">IF(AND(Fleet_1GW_Prod!K18=1,Fleet_1GW_Prod!K38=1),Fleet_1GW_Prod!K19*Fleet_1GW_Prod!K44,"SLO 不可達")</f>
        <v>3923640540.72866</v>
      </c>
      <c r="L21" s="60" t="n">
        <f aca="false">IF(AND(Fleet_1GW_Prod!L18=1,Fleet_1GW_Prod!L38=1),Fleet_1GW_Prod!L19*Fleet_1GW_Prod!L44,"SLO 不可達")</f>
        <v>7775798941.83008</v>
      </c>
      <c r="M21" s="60" t="n">
        <f aca="false">IF(AND(Fleet_1GW_Prod!M18=1,Fleet_1GW_Prod!M38=1),Fleet_1GW_Prod!M19*Fleet_1GW_Prod!M44,"SLO 不可達")</f>
        <v>7775798941.83008</v>
      </c>
      <c r="N21" s="60" t="n">
        <f aca="false">IF(AND(Fleet_1GW_Prod!N18=1,Fleet_1GW_Prod!N38=1),Fleet_1GW_Prod!N19*Fleet_1GW_Prod!N44,"SLO 不可達")</f>
        <v>7775798941.83008</v>
      </c>
      <c r="O21" s="60" t="n">
        <f aca="false">IF(AND(Fleet_1GW_Prod!O18=1,Fleet_1GW_Prod!O38=1),Fleet_1GW_Prod!O19*Fleet_1GW_Prod!O44,"SLO 不可達")</f>
        <v>11101923691.8132</v>
      </c>
      <c r="P21" s="60" t="n">
        <f aca="false">IF(AND(Fleet_1GW_Prod!P18=1,Fleet_1GW_Prod!P38=1),Fleet_1GW_Prod!P19*Fleet_1GW_Prod!P44,"SLO 不可達")</f>
        <v>11101923691.8132</v>
      </c>
      <c r="Q21" s="60" t="n">
        <f aca="false">IF(AND(Fleet_1GW_Prod!Q18=1,Fleet_1GW_Prod!Q38=1),Fleet_1GW_Prod!Q19*Fleet_1GW_Prod!Q44,"SLO 不可達")</f>
        <v>11101923691.8132</v>
      </c>
      <c r="S21" s="60" t="n">
        <f aca="false">IF(AND(Fleet_1GW_Prod!S18=1,Fleet_1GW_Prod!S38=1),Fleet_1GW_Prod!S19*Fleet_1GW_Prod!S44,"SLO 不可達")</f>
        <v>817042419.593355</v>
      </c>
      <c r="T21" s="60" t="n">
        <f aca="false">IF(AND(Fleet_1GW_Prod!T18=1,Fleet_1GW_Prod!T38=1),Fleet_1GW_Prod!T19*Fleet_1GW_Prod!T44,"SLO 不可達")</f>
        <v>817042419.593355</v>
      </c>
      <c r="U21" s="60" t="n">
        <f aca="false">IF(AND(Fleet_1GW_Prod!U18=1,Fleet_1GW_Prod!U38=1),Fleet_1GW_Prod!U19*Fleet_1GW_Prod!U44,"SLO 不可達")</f>
        <v>817042419.593355</v>
      </c>
      <c r="V21" s="60" t="n">
        <f aca="false">IF(AND(Fleet_1GW_Prod!V18=1,Fleet_1GW_Prod!V38=1),Fleet_1GW_Prod!V19*Fleet_1GW_Prod!V44,"SLO 不可達")</f>
        <v>4115849928.14302</v>
      </c>
      <c r="W21" s="60" t="n">
        <f aca="false">IF(AND(Fleet_1GW_Prod!W18=1,Fleet_1GW_Prod!W38=1),Fleet_1GW_Prod!W19*Fleet_1GW_Prod!W44,"SLO 不可達")</f>
        <v>4115849928.14302</v>
      </c>
      <c r="X21" s="60" t="n">
        <f aca="false">IF(AND(Fleet_1GW_Prod!X18=1,Fleet_1GW_Prod!X38=1),Fleet_1GW_Prod!X19*Fleet_1GW_Prod!X44,"SLO 不可達")</f>
        <v>4115849928.14302</v>
      </c>
      <c r="Y21" s="60" t="n">
        <f aca="false">IF(AND(Fleet_1GW_Prod!Y18=1,Fleet_1GW_Prod!Y38=1),Fleet_1GW_Prod!Y19*Fleet_1GW_Prod!Y44,"SLO 不可達")</f>
        <v>5358405295.61443</v>
      </c>
      <c r="Z21" s="60" t="n">
        <f aca="false">IF(AND(Fleet_1GW_Prod!Z18=1,Fleet_1GW_Prod!Z38=1),Fleet_1GW_Prod!Z19*Fleet_1GW_Prod!Z44,"SLO 不可達")</f>
        <v>5358405295.61443</v>
      </c>
      <c r="AA21" s="60" t="n">
        <f aca="false">IF(AND(Fleet_1GW_Prod!AA18=1,Fleet_1GW_Prod!AA38=1),Fleet_1GW_Prod!AA19*Fleet_1GW_Prod!AA44,"SLO 不可達")</f>
        <v>5358405295.61443</v>
      </c>
      <c r="AB21" s="60" t="n">
        <f aca="false">IF(AND(Fleet_1GW_Prod!AB18=1,Fleet_1GW_Prod!AB38=1),Fleet_1GW_Prod!AB19*Fleet_1GW_Prod!AB44,"SLO 不可達")</f>
        <v>9940186549.66862</v>
      </c>
      <c r="AC21" s="60" t="n">
        <f aca="false">IF(AND(Fleet_1GW_Prod!AC18=1,Fleet_1GW_Prod!AC38=1),Fleet_1GW_Prod!AC19*Fleet_1GW_Prod!AC44,"SLO 不可達")</f>
        <v>9940186549.66862</v>
      </c>
      <c r="AD21" s="60" t="n">
        <f aca="false">IF(AND(Fleet_1GW_Prod!AD18=1,Fleet_1GW_Prod!AD38=1),Fleet_1GW_Prod!AD19*Fleet_1GW_Prod!AD44,"SLO 不可達")</f>
        <v>9940186549.66862</v>
      </c>
      <c r="AE21" s="60" t="n">
        <f aca="false">IF(AND(Fleet_1GW_Prod!AE18=1,Fleet_1GW_Prod!AE38=1),Fleet_1GW_Prod!AE19*Fleet_1GW_Prod!AE44,"SLO 不可達")</f>
        <v>14062015619.0357</v>
      </c>
      <c r="AF21" s="60" t="n">
        <f aca="false">IF(AND(Fleet_1GW_Prod!AF18=1,Fleet_1GW_Prod!AF38=1),Fleet_1GW_Prod!AF19*Fleet_1GW_Prod!AF44,"SLO 不可達")</f>
        <v>14062015619.0357</v>
      </c>
      <c r="AG21" s="60" t="n">
        <f aca="false">IF(AND(Fleet_1GW_Prod!AG18=1,Fleet_1GW_Prod!AG38=1),Fleet_1GW_Prod!AG19*Fleet_1GW_Prod!AG44,"SLO 不可達")</f>
        <v>14062015619.0357</v>
      </c>
    </row>
    <row r="24" customFormat="false" ht="15" hidden="false" customHeight="false" outlineLevel="0" collapsed="false">
      <c r="A24" s="59" t="s">
        <v>1738</v>
      </c>
      <c r="B24" s="56" t="s">
        <v>2321</v>
      </c>
      <c r="C24" s="60" t="n">
        <f aca="false">IF(AND(Fleet_1GW_Prod!C18=1,Fleet_1GW_Prod!C39=1),Fleet_1GW_Prod!C19*Fleet_1GW_Prod!C45,"SLO 不可達")</f>
        <v>514788332.042671</v>
      </c>
      <c r="D24" s="60" t="n">
        <f aca="false">IF(AND(Fleet_1GW_Prod!D18=1,Fleet_1GW_Prod!D39=1),Fleet_1GW_Prod!D19*Fleet_1GW_Prod!D45,"SLO 不可達")</f>
        <v>514788332.042671</v>
      </c>
      <c r="E24" s="60" t="n">
        <f aca="false">IF(AND(Fleet_1GW_Prod!E18=1,Fleet_1GW_Prod!E39=1),Fleet_1GW_Prod!E19*Fleet_1GW_Prod!E45,"SLO 不可達")</f>
        <v>514788332.042671</v>
      </c>
      <c r="F24" s="60" t="n">
        <f aca="false">IF(AND(Fleet_1GW_Prod!F18=1,Fleet_1GW_Prod!F39=1),Fleet_1GW_Prod!F19*Fleet_1GW_Prod!F45,"SLO 不可達")</f>
        <v>3508138932.3316</v>
      </c>
      <c r="G24" s="60" t="n">
        <f aca="false">IF(AND(Fleet_1GW_Prod!G18=1,Fleet_1GW_Prod!G39=1),Fleet_1GW_Prod!G19*Fleet_1GW_Prod!G45,"SLO 不可達")</f>
        <v>3508138932.3316</v>
      </c>
      <c r="H24" s="60" t="n">
        <f aca="false">IF(AND(Fleet_1GW_Prod!H18=1,Fleet_1GW_Prod!H39=1),Fleet_1GW_Prod!H19*Fleet_1GW_Prod!H45,"SLO 不可達")</f>
        <v>3508138932.3316</v>
      </c>
      <c r="I24" s="60" t="n">
        <f aca="false">IF(AND(Fleet_1GW_Prod!I18=1,Fleet_1GW_Prod!I39=1),Fleet_1GW_Prod!I19*Fleet_1GW_Prod!I45,"SLO 不可達")</f>
        <v>4414095608.31975</v>
      </c>
      <c r="J24" s="60" t="n">
        <f aca="false">IF(AND(Fleet_1GW_Prod!J18=1,Fleet_1GW_Prod!J39=1),Fleet_1GW_Prod!J19*Fleet_1GW_Prod!J45,"SLO 不可達")</f>
        <v>4414095608.31975</v>
      </c>
      <c r="K24" s="60" t="n">
        <f aca="false">IF(AND(Fleet_1GW_Prod!K18=1,Fleet_1GW_Prod!K39=1),Fleet_1GW_Prod!K19*Fleet_1GW_Prod!K45,"SLO 不可達")</f>
        <v>4414095608.31975</v>
      </c>
      <c r="L24" s="60" t="n">
        <f aca="false">IF(AND(Fleet_1GW_Prod!L18=1,Fleet_1GW_Prod!L39=1),Fleet_1GW_Prod!L19*Fleet_1GW_Prod!L45,"SLO 不可達")</f>
        <v>8747773809.55884</v>
      </c>
      <c r="M24" s="60" t="n">
        <f aca="false">IF(AND(Fleet_1GW_Prod!M18=1,Fleet_1GW_Prod!M39=1),Fleet_1GW_Prod!M19*Fleet_1GW_Prod!M45,"SLO 不可達")</f>
        <v>8747773809.55884</v>
      </c>
      <c r="N24" s="60" t="n">
        <f aca="false">IF(AND(Fleet_1GW_Prod!N18=1,Fleet_1GW_Prod!N39=1),Fleet_1GW_Prod!N19*Fleet_1GW_Prod!N45,"SLO 不可達")</f>
        <v>8747773809.55884</v>
      </c>
      <c r="O24" s="60" t="n">
        <f aca="false">IF(AND(Fleet_1GW_Prod!O18=1,Fleet_1GW_Prod!O39=1),Fleet_1GW_Prod!O19*Fleet_1GW_Prod!O45,"SLO 不可達")</f>
        <v>12489664153.2899</v>
      </c>
      <c r="P24" s="60" t="n">
        <f aca="false">IF(AND(Fleet_1GW_Prod!P18=1,Fleet_1GW_Prod!P39=1),Fleet_1GW_Prod!P19*Fleet_1GW_Prod!P45,"SLO 不可達")</f>
        <v>12489664153.2899</v>
      </c>
      <c r="Q24" s="60" t="n">
        <f aca="false">IF(AND(Fleet_1GW_Prod!Q18=1,Fleet_1GW_Prod!Q39=1),Fleet_1GW_Prod!Q19*Fleet_1GW_Prod!Q45,"SLO 不可達")</f>
        <v>12489664153.2899</v>
      </c>
      <c r="S24" s="60" t="n">
        <f aca="false">IF(AND(Fleet_1GW_Prod!S18=1,Fleet_1GW_Prod!S39=1),Fleet_1GW_Prod!S19*Fleet_1GW_Prod!S45,"SLO 不可達")</f>
        <v>919172722.042524</v>
      </c>
      <c r="T24" s="60" t="n">
        <f aca="false">IF(AND(Fleet_1GW_Prod!T18=1,Fleet_1GW_Prod!T39=1),Fleet_1GW_Prod!T19*Fleet_1GW_Prod!T45,"SLO 不可達")</f>
        <v>919172722.042524</v>
      </c>
      <c r="U24" s="60" t="n">
        <f aca="false">IF(AND(Fleet_1GW_Prod!U18=1,Fleet_1GW_Prod!U39=1),Fleet_1GW_Prod!U19*Fleet_1GW_Prod!U45,"SLO 不可達")</f>
        <v>919172722.042524</v>
      </c>
      <c r="V24" s="60" t="n">
        <f aca="false">IF(AND(Fleet_1GW_Prod!V18=1,Fleet_1GW_Prod!V39=1),Fleet_1GW_Prod!V19*Fleet_1GW_Prod!V45,"SLO 不可達")</f>
        <v>4630331169.1609</v>
      </c>
      <c r="W24" s="60" t="n">
        <f aca="false">IF(AND(Fleet_1GW_Prod!W18=1,Fleet_1GW_Prod!W39=1),Fleet_1GW_Prod!W19*Fleet_1GW_Prod!W45,"SLO 不可達")</f>
        <v>4630331169.1609</v>
      </c>
      <c r="X24" s="60" t="n">
        <f aca="false">IF(AND(Fleet_1GW_Prod!X18=1,Fleet_1GW_Prod!X39=1),Fleet_1GW_Prod!X19*Fleet_1GW_Prod!X45,"SLO 不可達")</f>
        <v>4630331169.1609</v>
      </c>
      <c r="Y24" s="60" t="n">
        <f aca="false">IF(AND(Fleet_1GW_Prod!Y18=1,Fleet_1GW_Prod!Y39=1),Fleet_1GW_Prod!Y19*Fleet_1GW_Prod!Y45,"SLO 不可達")</f>
        <v>6028205957.56624</v>
      </c>
      <c r="Z24" s="60" t="n">
        <f aca="false">IF(AND(Fleet_1GW_Prod!Z18=1,Fleet_1GW_Prod!Z39=1),Fleet_1GW_Prod!Z19*Fleet_1GW_Prod!Z45,"SLO 不可達")</f>
        <v>6028205957.56624</v>
      </c>
      <c r="AA24" s="60" t="n">
        <f aca="false">IF(AND(Fleet_1GW_Prod!AA18=1,Fleet_1GW_Prod!AA39=1),Fleet_1GW_Prod!AA19*Fleet_1GW_Prod!AA45,"SLO 不可達")</f>
        <v>6028205957.56624</v>
      </c>
      <c r="AB24" s="60" t="n">
        <f aca="false">IF(AND(Fleet_1GW_Prod!AB18=1,Fleet_1GW_Prod!AB39=1),Fleet_1GW_Prod!AB19*Fleet_1GW_Prod!AB45,"SLO 不可達")</f>
        <v>11182709868.3772</v>
      </c>
      <c r="AC24" s="60" t="n">
        <f aca="false">IF(AND(Fleet_1GW_Prod!AC18=1,Fleet_1GW_Prod!AC39=1),Fleet_1GW_Prod!AC19*Fleet_1GW_Prod!AC45,"SLO 不可達")</f>
        <v>11182709868.3772</v>
      </c>
      <c r="AD24" s="60" t="n">
        <f aca="false">IF(AND(Fleet_1GW_Prod!AD18=1,Fleet_1GW_Prod!AD39=1),Fleet_1GW_Prod!AD19*Fleet_1GW_Prod!AD45,"SLO 不可達")</f>
        <v>11182709868.3772</v>
      </c>
      <c r="AE24" s="60" t="n">
        <f aca="false">IF(AND(Fleet_1GW_Prod!AE18=1,Fleet_1GW_Prod!AE39=1),Fleet_1GW_Prod!AE19*Fleet_1GW_Prod!AE45,"SLO 不可達")</f>
        <v>15819767571.4152</v>
      </c>
      <c r="AF24" s="60" t="n">
        <f aca="false">IF(AND(Fleet_1GW_Prod!AF18=1,Fleet_1GW_Prod!AF39=1),Fleet_1GW_Prod!AF19*Fleet_1GW_Prod!AF45,"SLO 不可達")</f>
        <v>15819767571.4152</v>
      </c>
      <c r="AG24" s="60" t="n">
        <f aca="false">IF(AND(Fleet_1GW_Prod!AG18=1,Fleet_1GW_Prod!AG39=1),Fleet_1GW_Prod!AG19*Fleet_1GW_Prod!AG45,"SLO 不可達")</f>
        <v>15819767571.4152</v>
      </c>
    </row>
    <row r="27" customFormat="false" ht="15" hidden="false" customHeight="false" outlineLevel="0" collapsed="false">
      <c r="A27" s="59" t="s">
        <v>1741</v>
      </c>
      <c r="B27" s="56" t="s">
        <v>2321</v>
      </c>
      <c r="C27" s="60" t="n">
        <f aca="false">IF(AND(Fleet_1GW_Prod!C18=1,Fleet_1GW_Prod!C40=1),Fleet_1GW_Prod!C19*Fleet_1GW_Prod!C46,"SLO 不可達")</f>
        <v>171596110.68089</v>
      </c>
      <c r="D27" s="60" t="n">
        <f aca="false">IF(AND(Fleet_1GW_Prod!D18=1,Fleet_1GW_Prod!D40=1),Fleet_1GW_Prod!D19*Fleet_1GW_Prod!D46,"SLO 不可達")</f>
        <v>171596110.68089</v>
      </c>
      <c r="E27" s="60" t="n">
        <f aca="false">IF(AND(Fleet_1GW_Prod!E18=1,Fleet_1GW_Prod!E40=1),Fleet_1GW_Prod!E19*Fleet_1GW_Prod!E46,"SLO 不可達")</f>
        <v>171596110.68089</v>
      </c>
      <c r="F27" s="60" t="n">
        <f aca="false">IF(AND(Fleet_1GW_Prod!F18=1,Fleet_1GW_Prod!F40=1),Fleet_1GW_Prod!F19*Fleet_1GW_Prod!F46,"SLO 不可達")</f>
        <v>1169379644.11053</v>
      </c>
      <c r="G27" s="60" t="n">
        <f aca="false">IF(AND(Fleet_1GW_Prod!G18=1,Fleet_1GW_Prod!G40=1),Fleet_1GW_Prod!G19*Fleet_1GW_Prod!G46,"SLO 不可達")</f>
        <v>1169379644.11053</v>
      </c>
      <c r="H27" s="60" t="n">
        <f aca="false">IF(AND(Fleet_1GW_Prod!H18=1,Fleet_1GW_Prod!H40=1),Fleet_1GW_Prod!H19*Fleet_1GW_Prod!H46,"SLO 不可達")</f>
        <v>1169379644.11053</v>
      </c>
      <c r="I27" s="60" t="n">
        <f aca="false">IF(AND(Fleet_1GW_Prod!I18=1,Fleet_1GW_Prod!I40=1),Fleet_1GW_Prod!I19*Fleet_1GW_Prod!I46,"SLO 不可達")</f>
        <v>1471365202.77325</v>
      </c>
      <c r="J27" s="60" t="n">
        <f aca="false">IF(AND(Fleet_1GW_Prod!J18=1,Fleet_1GW_Prod!J40=1),Fleet_1GW_Prod!J19*Fleet_1GW_Prod!J46,"SLO 不可達")</f>
        <v>1471365202.77325</v>
      </c>
      <c r="K27" s="60" t="n">
        <f aca="false">IF(AND(Fleet_1GW_Prod!K18=1,Fleet_1GW_Prod!K40=1),Fleet_1GW_Prod!K19*Fleet_1GW_Prod!K46,"SLO 不可達")</f>
        <v>1471365202.77325</v>
      </c>
      <c r="L27" s="60" t="n">
        <f aca="false">IF(AND(Fleet_1GW_Prod!L18=1,Fleet_1GW_Prod!L40=1),Fleet_1GW_Prod!L19*Fleet_1GW_Prod!L46,"SLO 不可達")</f>
        <v>2915924603.18628</v>
      </c>
      <c r="M27" s="60" t="n">
        <f aca="false">IF(AND(Fleet_1GW_Prod!M18=1,Fleet_1GW_Prod!M40=1),Fleet_1GW_Prod!M19*Fleet_1GW_Prod!M46,"SLO 不可達")</f>
        <v>2915924603.18628</v>
      </c>
      <c r="N27" s="60" t="n">
        <f aca="false">IF(AND(Fleet_1GW_Prod!N18=1,Fleet_1GW_Prod!N40=1),Fleet_1GW_Prod!N19*Fleet_1GW_Prod!N46,"SLO 不可達")</f>
        <v>2915924603.18628</v>
      </c>
      <c r="O27" s="60" t="n">
        <f aca="false">IF(AND(Fleet_1GW_Prod!O18=1,Fleet_1GW_Prod!O40=1),Fleet_1GW_Prod!O19*Fleet_1GW_Prod!O46,"SLO 不可達")</f>
        <v>4163221384.42996</v>
      </c>
      <c r="P27" s="60" t="n">
        <f aca="false">IF(AND(Fleet_1GW_Prod!P18=1,Fleet_1GW_Prod!P40=1),Fleet_1GW_Prod!P19*Fleet_1GW_Prod!P46,"SLO 不可達")</f>
        <v>4163221384.42996</v>
      </c>
      <c r="Q27" s="60" t="n">
        <f aca="false">IF(AND(Fleet_1GW_Prod!Q18=1,Fleet_1GW_Prod!Q40=1),Fleet_1GW_Prod!Q19*Fleet_1GW_Prod!Q46,"SLO 不可達")</f>
        <v>4163221384.42996</v>
      </c>
      <c r="S27" s="60" t="n">
        <f aca="false">IF(AND(Fleet_1GW_Prod!S18=1,Fleet_1GW_Prod!S40=1),Fleet_1GW_Prod!S19*Fleet_1GW_Prod!S46,"SLO 不可達")</f>
        <v>306390907.347508</v>
      </c>
      <c r="T27" s="60" t="n">
        <f aca="false">IF(AND(Fleet_1GW_Prod!T18=1,Fleet_1GW_Prod!T40=1),Fleet_1GW_Prod!T19*Fleet_1GW_Prod!T46,"SLO 不可達")</f>
        <v>306390907.347508</v>
      </c>
      <c r="U27" s="60" t="n">
        <f aca="false">IF(AND(Fleet_1GW_Prod!U18=1,Fleet_1GW_Prod!U40=1),Fleet_1GW_Prod!U19*Fleet_1GW_Prod!U46,"SLO 不可達")</f>
        <v>306390907.347508</v>
      </c>
      <c r="V27" s="60" t="n">
        <f aca="false">IF(AND(Fleet_1GW_Prod!V18=1,Fleet_1GW_Prod!V40=1),Fleet_1GW_Prod!V19*Fleet_1GW_Prod!V46,"SLO 不可達")</f>
        <v>1543443723.05363</v>
      </c>
      <c r="W27" s="60" t="n">
        <f aca="false">IF(AND(Fleet_1GW_Prod!W18=1,Fleet_1GW_Prod!W40=1),Fleet_1GW_Prod!W19*Fleet_1GW_Prod!W46,"SLO 不可達")</f>
        <v>1543443723.05363</v>
      </c>
      <c r="X27" s="60" t="n">
        <f aca="false">IF(AND(Fleet_1GW_Prod!X18=1,Fleet_1GW_Prod!X40=1),Fleet_1GW_Prod!X19*Fleet_1GW_Prod!X46,"SLO 不可達")</f>
        <v>1543443723.05363</v>
      </c>
      <c r="Y27" s="60" t="n">
        <f aca="false">IF(AND(Fleet_1GW_Prod!Y18=1,Fleet_1GW_Prod!Y40=1),Fleet_1GW_Prod!Y19*Fleet_1GW_Prod!Y46,"SLO 不可達")</f>
        <v>2009401985.85541</v>
      </c>
      <c r="Z27" s="60" t="n">
        <f aca="false">IF(AND(Fleet_1GW_Prod!Z18=1,Fleet_1GW_Prod!Z40=1),Fleet_1GW_Prod!Z19*Fleet_1GW_Prod!Z46,"SLO 不可達")</f>
        <v>2009401985.85541</v>
      </c>
      <c r="AA27" s="60" t="n">
        <f aca="false">IF(AND(Fleet_1GW_Prod!AA18=1,Fleet_1GW_Prod!AA40=1),Fleet_1GW_Prod!AA19*Fleet_1GW_Prod!AA46,"SLO 不可達")</f>
        <v>2009401985.85541</v>
      </c>
      <c r="AB27" s="60" t="n">
        <f aca="false">IF(AND(Fleet_1GW_Prod!AB18=1,Fleet_1GW_Prod!AB40=1),Fleet_1GW_Prod!AB19*Fleet_1GW_Prod!AB46,"SLO 不可達")</f>
        <v>3727569956.12573</v>
      </c>
      <c r="AC27" s="60" t="n">
        <f aca="false">IF(AND(Fleet_1GW_Prod!AC18=1,Fleet_1GW_Prod!AC40=1),Fleet_1GW_Prod!AC19*Fleet_1GW_Prod!AC46,"SLO 不可達")</f>
        <v>3727569956.12573</v>
      </c>
      <c r="AD27" s="60" t="n">
        <f aca="false">IF(AND(Fleet_1GW_Prod!AD18=1,Fleet_1GW_Prod!AD40=1),Fleet_1GW_Prod!AD19*Fleet_1GW_Prod!AD46,"SLO 不可達")</f>
        <v>3727569956.12573</v>
      </c>
      <c r="AE27" s="60" t="n">
        <f aca="false">IF(AND(Fleet_1GW_Prod!AE18=1,Fleet_1GW_Prod!AE40=1),Fleet_1GW_Prod!AE19*Fleet_1GW_Prod!AE46,"SLO 不可達")</f>
        <v>5273255857.1384</v>
      </c>
      <c r="AF27" s="60" t="n">
        <f aca="false">IF(AND(Fleet_1GW_Prod!AF18=1,Fleet_1GW_Prod!AF40=1),Fleet_1GW_Prod!AF19*Fleet_1GW_Prod!AF46,"SLO 不可達")</f>
        <v>5273255857.1384</v>
      </c>
      <c r="AG27" s="60" t="n">
        <f aca="false">IF(AND(Fleet_1GW_Prod!AG18=1,Fleet_1GW_Prod!AG40=1),Fleet_1GW_Prod!AG19*Fleet_1GW_Prod!AG46,"SLO 不可達")</f>
        <v>5273255857.1384</v>
      </c>
    </row>
    <row r="38" customFormat="false" ht="15" hidden="false" customHeight="false" outlineLevel="0" collapsed="false">
      <c r="A38" s="59" t="s">
        <v>1750</v>
      </c>
      <c r="B38" s="71" t="s">
        <v>1732</v>
      </c>
      <c r="C38" s="87" t="n">
        <f aca="false">IF(ISNUMBER(INDEX(Interface_Prod!$C$21:$Q$21,1,Fleet_1GW!C$7)),IF(INDEX(Interface_Prod!$C$21:$Q$21,1,Fleet_1GW!C$7)&gt;0,1,0),0)</f>
        <v>1</v>
      </c>
      <c r="D38" s="87" t="n">
        <f aca="false">IF(ISNUMBER(INDEX(Interface_Prod!$C$21:$Q$21,1,Fleet_1GW!D$7)),IF(INDEX(Interface_Prod!$C$21:$Q$21,1,Fleet_1GW!D$7)&gt;0,1,0),0)</f>
        <v>1</v>
      </c>
      <c r="E38" s="87" t="n">
        <f aca="false">IF(ISNUMBER(INDEX(Interface_Prod!$C$21:$Q$21,1,Fleet_1GW!E$7)),IF(INDEX(Interface_Prod!$C$21:$Q$21,1,Fleet_1GW!E$7)&gt;0,1,0),0)</f>
        <v>1</v>
      </c>
      <c r="F38" s="87" t="n">
        <f aca="false">IF(ISNUMBER(INDEX(Interface_Prod!$C$21:$Q$21,1,Fleet_1GW!F$7)),IF(INDEX(Interface_Prod!$C$21:$Q$21,1,Fleet_1GW!F$7)&gt;0,1,0),0)</f>
        <v>1</v>
      </c>
      <c r="G38" s="87" t="n">
        <f aca="false">IF(ISNUMBER(INDEX(Interface_Prod!$C$21:$Q$21,1,Fleet_1GW!G$7)),IF(INDEX(Interface_Prod!$C$21:$Q$21,1,Fleet_1GW!G$7)&gt;0,1,0),0)</f>
        <v>1</v>
      </c>
      <c r="H38" s="87" t="n">
        <f aca="false">IF(ISNUMBER(INDEX(Interface_Prod!$C$21:$Q$21,1,Fleet_1GW!H$7)),IF(INDEX(Interface_Prod!$C$21:$Q$21,1,Fleet_1GW!H$7)&gt;0,1,0),0)</f>
        <v>1</v>
      </c>
      <c r="I38" s="87" t="n">
        <f aca="false">IF(ISNUMBER(INDEX(Interface_Prod!$C$21:$Q$21,1,Fleet_1GW!I$7)),IF(INDEX(Interface_Prod!$C$21:$Q$21,1,Fleet_1GW!I$7)&gt;0,1,0),0)</f>
        <v>1</v>
      </c>
      <c r="J38" s="87" t="n">
        <f aca="false">IF(ISNUMBER(INDEX(Interface_Prod!$C$21:$Q$21,1,Fleet_1GW!J$7)),IF(INDEX(Interface_Prod!$C$21:$Q$21,1,Fleet_1GW!J$7)&gt;0,1,0),0)</f>
        <v>1</v>
      </c>
      <c r="K38" s="87" t="n">
        <f aca="false">IF(ISNUMBER(INDEX(Interface_Prod!$C$21:$Q$21,1,Fleet_1GW!K$7)),IF(INDEX(Interface_Prod!$C$21:$Q$21,1,Fleet_1GW!K$7)&gt;0,1,0),0)</f>
        <v>1</v>
      </c>
      <c r="L38" s="87" t="n">
        <f aca="false">IF(ISNUMBER(INDEX(Interface_Prod!$C$21:$Q$21,1,Fleet_1GW!L$7)),IF(INDEX(Interface_Prod!$C$21:$Q$21,1,Fleet_1GW!L$7)&gt;0,1,0),0)</f>
        <v>1</v>
      </c>
      <c r="M38" s="87" t="n">
        <f aca="false">IF(ISNUMBER(INDEX(Interface_Prod!$C$21:$Q$21,1,Fleet_1GW!M$7)),IF(INDEX(Interface_Prod!$C$21:$Q$21,1,Fleet_1GW!M$7)&gt;0,1,0),0)</f>
        <v>1</v>
      </c>
      <c r="N38" s="87" t="n">
        <f aca="false">IF(ISNUMBER(INDEX(Interface_Prod!$C$21:$Q$21,1,Fleet_1GW!N$7)),IF(INDEX(Interface_Prod!$C$21:$Q$21,1,Fleet_1GW!N$7)&gt;0,1,0),0)</f>
        <v>1</v>
      </c>
      <c r="O38" s="87" t="n">
        <f aca="false">IF(ISNUMBER(INDEX(Interface_Prod!$C$21:$Q$21,1,Fleet_1GW!O$7)),IF(INDEX(Interface_Prod!$C$21:$Q$21,1,Fleet_1GW!O$7)&gt;0,1,0),0)</f>
        <v>1</v>
      </c>
      <c r="P38" s="87" t="n">
        <f aca="false">IF(ISNUMBER(INDEX(Interface_Prod!$C$21:$Q$21,1,Fleet_1GW!P$7)),IF(INDEX(Interface_Prod!$C$21:$Q$21,1,Fleet_1GW!P$7)&gt;0,1,0),0)</f>
        <v>1</v>
      </c>
      <c r="Q38" s="87" t="n">
        <f aca="false">IF(ISNUMBER(INDEX(Interface_Prod!$C$21:$Q$21,1,Fleet_1GW!Q$7)),IF(INDEX(Interface_Prod!$C$21:$Q$21,1,Fleet_1GW!Q$7)&gt;0,1,0),0)</f>
        <v>1</v>
      </c>
      <c r="S38" s="87" t="n">
        <f aca="false">IF(ISNUMBER(INDEX(Interface_Prod!$S$21:$AG$21,1,Fleet_1GW!C$7)),IF(INDEX(Interface_Prod!$S$21:$AG$21,1,Fleet_1GW!C$7)&gt;0,1,0),0)</f>
        <v>1</v>
      </c>
      <c r="T38" s="87" t="n">
        <f aca="false">IF(ISNUMBER(INDEX(Interface_Prod!$S$21:$AG$21,1,Fleet_1GW!D$7)),IF(INDEX(Interface_Prod!$S$21:$AG$21,1,Fleet_1GW!D$7)&gt;0,1,0),0)</f>
        <v>1</v>
      </c>
      <c r="U38" s="87" t="n">
        <f aca="false">IF(ISNUMBER(INDEX(Interface_Prod!$S$21:$AG$21,1,Fleet_1GW!E$7)),IF(INDEX(Interface_Prod!$S$21:$AG$21,1,Fleet_1GW!E$7)&gt;0,1,0),0)</f>
        <v>1</v>
      </c>
      <c r="V38" s="87" t="n">
        <f aca="false">IF(ISNUMBER(INDEX(Interface_Prod!$S$21:$AG$21,1,Fleet_1GW!F$7)),IF(INDEX(Interface_Prod!$S$21:$AG$21,1,Fleet_1GW!F$7)&gt;0,1,0),0)</f>
        <v>1</v>
      </c>
      <c r="W38" s="87" t="n">
        <f aca="false">IF(ISNUMBER(INDEX(Interface_Prod!$S$21:$AG$21,1,Fleet_1GW!G$7)),IF(INDEX(Interface_Prod!$S$21:$AG$21,1,Fleet_1GW!G$7)&gt;0,1,0),0)</f>
        <v>1</v>
      </c>
      <c r="X38" s="87" t="n">
        <f aca="false">IF(ISNUMBER(INDEX(Interface_Prod!$S$21:$AG$21,1,Fleet_1GW!H$7)),IF(INDEX(Interface_Prod!$S$21:$AG$21,1,Fleet_1GW!H$7)&gt;0,1,0),0)</f>
        <v>1</v>
      </c>
      <c r="Y38" s="87" t="n">
        <f aca="false">IF(ISNUMBER(INDEX(Interface_Prod!$S$21:$AG$21,1,Fleet_1GW!I$7)),IF(INDEX(Interface_Prod!$S$21:$AG$21,1,Fleet_1GW!I$7)&gt;0,1,0),0)</f>
        <v>1</v>
      </c>
      <c r="Z38" s="87" t="n">
        <f aca="false">IF(ISNUMBER(INDEX(Interface_Prod!$S$21:$AG$21,1,Fleet_1GW!J$7)),IF(INDEX(Interface_Prod!$S$21:$AG$21,1,Fleet_1GW!J$7)&gt;0,1,0),0)</f>
        <v>1</v>
      </c>
      <c r="AA38" s="87" t="n">
        <f aca="false">IF(ISNUMBER(INDEX(Interface_Prod!$S$21:$AG$21,1,Fleet_1GW!K$7)),IF(INDEX(Interface_Prod!$S$21:$AG$21,1,Fleet_1GW!K$7)&gt;0,1,0),0)</f>
        <v>1</v>
      </c>
      <c r="AB38" s="87" t="n">
        <f aca="false">IF(ISNUMBER(INDEX(Interface_Prod!$S$21:$AG$21,1,Fleet_1GW!L$7)),IF(INDEX(Interface_Prod!$S$21:$AG$21,1,Fleet_1GW!L$7)&gt;0,1,0),0)</f>
        <v>1</v>
      </c>
      <c r="AC38" s="87" t="n">
        <f aca="false">IF(ISNUMBER(INDEX(Interface_Prod!$S$21:$AG$21,1,Fleet_1GW!M$7)),IF(INDEX(Interface_Prod!$S$21:$AG$21,1,Fleet_1GW!M$7)&gt;0,1,0),0)</f>
        <v>1</v>
      </c>
      <c r="AD38" s="87" t="n">
        <f aca="false">IF(ISNUMBER(INDEX(Interface_Prod!$S$21:$AG$21,1,Fleet_1GW!N$7)),IF(INDEX(Interface_Prod!$S$21:$AG$21,1,Fleet_1GW!N$7)&gt;0,1,0),0)</f>
        <v>1</v>
      </c>
      <c r="AE38" s="87" t="n">
        <f aca="false">IF(ISNUMBER(INDEX(Interface_Prod!$S$21:$AG$21,1,Fleet_1GW!O$7)),IF(INDEX(Interface_Prod!$S$21:$AG$21,1,Fleet_1GW!O$7)&gt;0,1,0),0)</f>
        <v>1</v>
      </c>
      <c r="AF38" s="87" t="n">
        <f aca="false">IF(ISNUMBER(INDEX(Interface_Prod!$S$21:$AG$21,1,Fleet_1GW!P$7)),IF(INDEX(Interface_Prod!$S$21:$AG$21,1,Fleet_1GW!P$7)&gt;0,1,0),0)</f>
        <v>1</v>
      </c>
      <c r="AG38" s="87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59" t="s">
        <v>1751</v>
      </c>
      <c r="B39" s="71" t="s">
        <v>1732</v>
      </c>
      <c r="C39" s="87" t="n">
        <f aca="false">IF(ISNUMBER(INDEX(Interface_Prod!$C$31:$Q$31,1,Fleet_1GW!C$7)),IF(INDEX(Interface_Prod!$C$31:$Q$31,1,Fleet_1GW!C$7)&gt;0,1,0),0)</f>
        <v>1</v>
      </c>
      <c r="D39" s="87" t="n">
        <f aca="false">IF(ISNUMBER(INDEX(Interface_Prod!$C$31:$Q$31,1,Fleet_1GW!D$7)),IF(INDEX(Interface_Prod!$C$31:$Q$31,1,Fleet_1GW!D$7)&gt;0,1,0),0)</f>
        <v>1</v>
      </c>
      <c r="E39" s="87" t="n">
        <f aca="false">IF(ISNUMBER(INDEX(Interface_Prod!$C$31:$Q$31,1,Fleet_1GW!E$7)),IF(INDEX(Interface_Prod!$C$31:$Q$31,1,Fleet_1GW!E$7)&gt;0,1,0),0)</f>
        <v>1</v>
      </c>
      <c r="F39" s="87" t="n">
        <f aca="false">IF(ISNUMBER(INDEX(Interface_Prod!$C$31:$Q$31,1,Fleet_1GW!F$7)),IF(INDEX(Interface_Prod!$C$31:$Q$31,1,Fleet_1GW!F$7)&gt;0,1,0),0)</f>
        <v>1</v>
      </c>
      <c r="G39" s="87" t="n">
        <f aca="false">IF(ISNUMBER(INDEX(Interface_Prod!$C$31:$Q$31,1,Fleet_1GW!G$7)),IF(INDEX(Interface_Prod!$C$31:$Q$31,1,Fleet_1GW!G$7)&gt;0,1,0),0)</f>
        <v>1</v>
      </c>
      <c r="H39" s="87" t="n">
        <f aca="false">IF(ISNUMBER(INDEX(Interface_Prod!$C$31:$Q$31,1,Fleet_1GW!H$7)),IF(INDEX(Interface_Prod!$C$31:$Q$31,1,Fleet_1GW!H$7)&gt;0,1,0),0)</f>
        <v>1</v>
      </c>
      <c r="I39" s="87" t="n">
        <f aca="false">IF(ISNUMBER(INDEX(Interface_Prod!$C$31:$Q$31,1,Fleet_1GW!I$7)),IF(INDEX(Interface_Prod!$C$31:$Q$31,1,Fleet_1GW!I$7)&gt;0,1,0),0)</f>
        <v>1</v>
      </c>
      <c r="J39" s="87" t="n">
        <f aca="false">IF(ISNUMBER(INDEX(Interface_Prod!$C$31:$Q$31,1,Fleet_1GW!J$7)),IF(INDEX(Interface_Prod!$C$31:$Q$31,1,Fleet_1GW!J$7)&gt;0,1,0),0)</f>
        <v>1</v>
      </c>
      <c r="K39" s="87" t="n">
        <f aca="false">IF(ISNUMBER(INDEX(Interface_Prod!$C$31:$Q$31,1,Fleet_1GW!K$7)),IF(INDEX(Interface_Prod!$C$31:$Q$31,1,Fleet_1GW!K$7)&gt;0,1,0),0)</f>
        <v>1</v>
      </c>
      <c r="L39" s="87" t="n">
        <f aca="false">IF(ISNUMBER(INDEX(Interface_Prod!$C$31:$Q$31,1,Fleet_1GW!L$7)),IF(INDEX(Interface_Prod!$C$31:$Q$31,1,Fleet_1GW!L$7)&gt;0,1,0),0)</f>
        <v>1</v>
      </c>
      <c r="M39" s="87" t="n">
        <f aca="false">IF(ISNUMBER(INDEX(Interface_Prod!$C$31:$Q$31,1,Fleet_1GW!M$7)),IF(INDEX(Interface_Prod!$C$31:$Q$31,1,Fleet_1GW!M$7)&gt;0,1,0),0)</f>
        <v>1</v>
      </c>
      <c r="N39" s="87" t="n">
        <f aca="false">IF(ISNUMBER(INDEX(Interface_Prod!$C$31:$Q$31,1,Fleet_1GW!N$7)),IF(INDEX(Interface_Prod!$C$31:$Q$31,1,Fleet_1GW!N$7)&gt;0,1,0),0)</f>
        <v>1</v>
      </c>
      <c r="O39" s="87" t="n">
        <f aca="false">IF(ISNUMBER(INDEX(Interface_Prod!$C$31:$Q$31,1,Fleet_1GW!O$7)),IF(INDEX(Interface_Prod!$C$31:$Q$31,1,Fleet_1GW!O$7)&gt;0,1,0),0)</f>
        <v>1</v>
      </c>
      <c r="P39" s="87" t="n">
        <f aca="false">IF(ISNUMBER(INDEX(Interface_Prod!$C$31:$Q$31,1,Fleet_1GW!P$7)),IF(INDEX(Interface_Prod!$C$31:$Q$31,1,Fleet_1GW!P$7)&gt;0,1,0),0)</f>
        <v>1</v>
      </c>
      <c r="Q39" s="87" t="n">
        <f aca="false">IF(ISNUMBER(INDEX(Interface_Prod!$C$31:$Q$31,1,Fleet_1GW!Q$7)),IF(INDEX(Interface_Prod!$C$31:$Q$31,1,Fleet_1GW!Q$7)&gt;0,1,0),0)</f>
        <v>1</v>
      </c>
      <c r="S39" s="87" t="n">
        <f aca="false">IF(ISNUMBER(INDEX(Interface_Prod!$S$31:$AG$31,1,Fleet_1GW!C$7)),IF(INDEX(Interface_Prod!$S$31:$AG$31,1,Fleet_1GW!C$7)&gt;0,1,0),0)</f>
        <v>1</v>
      </c>
      <c r="T39" s="87" t="n">
        <f aca="false">IF(ISNUMBER(INDEX(Interface_Prod!$S$31:$AG$31,1,Fleet_1GW!D$7)),IF(INDEX(Interface_Prod!$S$31:$AG$31,1,Fleet_1GW!D$7)&gt;0,1,0),0)</f>
        <v>1</v>
      </c>
      <c r="U39" s="87" t="n">
        <f aca="false">IF(ISNUMBER(INDEX(Interface_Prod!$S$31:$AG$31,1,Fleet_1GW!E$7)),IF(INDEX(Interface_Prod!$S$31:$AG$31,1,Fleet_1GW!E$7)&gt;0,1,0),0)</f>
        <v>1</v>
      </c>
      <c r="V39" s="87" t="n">
        <f aca="false">IF(ISNUMBER(INDEX(Interface_Prod!$S$31:$AG$31,1,Fleet_1GW!F$7)),IF(INDEX(Interface_Prod!$S$31:$AG$31,1,Fleet_1GW!F$7)&gt;0,1,0),0)</f>
        <v>1</v>
      </c>
      <c r="W39" s="87" t="n">
        <f aca="false">IF(ISNUMBER(INDEX(Interface_Prod!$S$31:$AG$31,1,Fleet_1GW!G$7)),IF(INDEX(Interface_Prod!$S$31:$AG$31,1,Fleet_1GW!G$7)&gt;0,1,0),0)</f>
        <v>1</v>
      </c>
      <c r="X39" s="87" t="n">
        <f aca="false">IF(ISNUMBER(INDEX(Interface_Prod!$S$31:$AG$31,1,Fleet_1GW!H$7)),IF(INDEX(Interface_Prod!$S$31:$AG$31,1,Fleet_1GW!H$7)&gt;0,1,0),0)</f>
        <v>1</v>
      </c>
      <c r="Y39" s="87" t="n">
        <f aca="false">IF(ISNUMBER(INDEX(Interface_Prod!$S$31:$AG$31,1,Fleet_1GW!I$7)),IF(INDEX(Interface_Prod!$S$31:$AG$31,1,Fleet_1GW!I$7)&gt;0,1,0),0)</f>
        <v>1</v>
      </c>
      <c r="Z39" s="87" t="n">
        <f aca="false">IF(ISNUMBER(INDEX(Interface_Prod!$S$31:$AG$31,1,Fleet_1GW!J$7)),IF(INDEX(Interface_Prod!$S$31:$AG$31,1,Fleet_1GW!J$7)&gt;0,1,0),0)</f>
        <v>1</v>
      </c>
      <c r="AA39" s="87" t="n">
        <f aca="false">IF(ISNUMBER(INDEX(Interface_Prod!$S$31:$AG$31,1,Fleet_1GW!K$7)),IF(INDEX(Interface_Prod!$S$31:$AG$31,1,Fleet_1GW!K$7)&gt;0,1,0),0)</f>
        <v>1</v>
      </c>
      <c r="AB39" s="87" t="n">
        <f aca="false">IF(ISNUMBER(INDEX(Interface_Prod!$S$31:$AG$31,1,Fleet_1GW!L$7)),IF(INDEX(Interface_Prod!$S$31:$AG$31,1,Fleet_1GW!L$7)&gt;0,1,0),0)</f>
        <v>1</v>
      </c>
      <c r="AC39" s="87" t="n">
        <f aca="false">IF(ISNUMBER(INDEX(Interface_Prod!$S$31:$AG$31,1,Fleet_1GW!M$7)),IF(INDEX(Interface_Prod!$S$31:$AG$31,1,Fleet_1GW!M$7)&gt;0,1,0),0)</f>
        <v>1</v>
      </c>
      <c r="AD39" s="87" t="n">
        <f aca="false">IF(ISNUMBER(INDEX(Interface_Prod!$S$31:$AG$31,1,Fleet_1GW!N$7)),IF(INDEX(Interface_Prod!$S$31:$AG$31,1,Fleet_1GW!N$7)&gt;0,1,0),0)</f>
        <v>1</v>
      </c>
      <c r="AE39" s="87" t="n">
        <f aca="false">IF(ISNUMBER(INDEX(Interface_Prod!$S$31:$AG$31,1,Fleet_1GW!O$7)),IF(INDEX(Interface_Prod!$S$31:$AG$31,1,Fleet_1GW!O$7)&gt;0,1,0),0)</f>
        <v>1</v>
      </c>
      <c r="AF39" s="87" t="n">
        <f aca="false">IF(ISNUMBER(INDEX(Interface_Prod!$S$31:$AG$31,1,Fleet_1GW!P$7)),IF(INDEX(Interface_Prod!$S$31:$AG$31,1,Fleet_1GW!P$7)&gt;0,1,0),0)</f>
        <v>1</v>
      </c>
      <c r="AG39" s="87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59" t="s">
        <v>1752</v>
      </c>
      <c r="B40" s="71" t="s">
        <v>1732</v>
      </c>
      <c r="C40" s="87" t="n">
        <f aca="false">IF(ISNUMBER(INDEX(Interface_Prod!$C$41:$Q$41,1,Fleet_1GW!C$7)),IF(INDEX(Interface_Prod!$C$41:$Q$41,1,Fleet_1GW!C$7)&gt;0,1,0),0)</f>
        <v>1</v>
      </c>
      <c r="D40" s="87" t="n">
        <f aca="false">IF(ISNUMBER(INDEX(Interface_Prod!$C$41:$Q$41,1,Fleet_1GW!D$7)),IF(INDEX(Interface_Prod!$C$41:$Q$41,1,Fleet_1GW!D$7)&gt;0,1,0),0)</f>
        <v>1</v>
      </c>
      <c r="E40" s="87" t="n">
        <f aca="false">IF(ISNUMBER(INDEX(Interface_Prod!$C$41:$Q$41,1,Fleet_1GW!E$7)),IF(INDEX(Interface_Prod!$C$41:$Q$41,1,Fleet_1GW!E$7)&gt;0,1,0),0)</f>
        <v>1</v>
      </c>
      <c r="F40" s="87" t="n">
        <f aca="false">IF(ISNUMBER(INDEX(Interface_Prod!$C$41:$Q$41,1,Fleet_1GW!F$7)),IF(INDEX(Interface_Prod!$C$41:$Q$41,1,Fleet_1GW!F$7)&gt;0,1,0),0)</f>
        <v>1</v>
      </c>
      <c r="G40" s="87" t="n">
        <f aca="false">IF(ISNUMBER(INDEX(Interface_Prod!$C$41:$Q$41,1,Fleet_1GW!G$7)),IF(INDEX(Interface_Prod!$C$41:$Q$41,1,Fleet_1GW!G$7)&gt;0,1,0),0)</f>
        <v>1</v>
      </c>
      <c r="H40" s="87" t="n">
        <f aca="false">IF(ISNUMBER(INDEX(Interface_Prod!$C$41:$Q$41,1,Fleet_1GW!H$7)),IF(INDEX(Interface_Prod!$C$41:$Q$41,1,Fleet_1GW!H$7)&gt;0,1,0),0)</f>
        <v>1</v>
      </c>
      <c r="I40" s="87" t="n">
        <f aca="false">IF(ISNUMBER(INDEX(Interface_Prod!$C$41:$Q$41,1,Fleet_1GW!I$7)),IF(INDEX(Interface_Prod!$C$41:$Q$41,1,Fleet_1GW!I$7)&gt;0,1,0),0)</f>
        <v>1</v>
      </c>
      <c r="J40" s="87" t="n">
        <f aca="false">IF(ISNUMBER(INDEX(Interface_Prod!$C$41:$Q$41,1,Fleet_1GW!J$7)),IF(INDEX(Interface_Prod!$C$41:$Q$41,1,Fleet_1GW!J$7)&gt;0,1,0),0)</f>
        <v>1</v>
      </c>
      <c r="K40" s="87" t="n">
        <f aca="false">IF(ISNUMBER(INDEX(Interface_Prod!$C$41:$Q$41,1,Fleet_1GW!K$7)),IF(INDEX(Interface_Prod!$C$41:$Q$41,1,Fleet_1GW!K$7)&gt;0,1,0),0)</f>
        <v>1</v>
      </c>
      <c r="L40" s="87" t="n">
        <f aca="false">IF(ISNUMBER(INDEX(Interface_Prod!$C$41:$Q$41,1,Fleet_1GW!L$7)),IF(INDEX(Interface_Prod!$C$41:$Q$41,1,Fleet_1GW!L$7)&gt;0,1,0),0)</f>
        <v>1</v>
      </c>
      <c r="M40" s="87" t="n">
        <f aca="false">IF(ISNUMBER(INDEX(Interface_Prod!$C$41:$Q$41,1,Fleet_1GW!M$7)),IF(INDEX(Interface_Prod!$C$41:$Q$41,1,Fleet_1GW!M$7)&gt;0,1,0),0)</f>
        <v>1</v>
      </c>
      <c r="N40" s="87" t="n">
        <f aca="false">IF(ISNUMBER(INDEX(Interface_Prod!$C$41:$Q$41,1,Fleet_1GW!N$7)),IF(INDEX(Interface_Prod!$C$41:$Q$41,1,Fleet_1GW!N$7)&gt;0,1,0),0)</f>
        <v>1</v>
      </c>
      <c r="O40" s="87" t="n">
        <f aca="false">IF(ISNUMBER(INDEX(Interface_Prod!$C$41:$Q$41,1,Fleet_1GW!O$7)),IF(INDEX(Interface_Prod!$C$41:$Q$41,1,Fleet_1GW!O$7)&gt;0,1,0),0)</f>
        <v>1</v>
      </c>
      <c r="P40" s="87" t="n">
        <f aca="false">IF(ISNUMBER(INDEX(Interface_Prod!$C$41:$Q$41,1,Fleet_1GW!P$7)),IF(INDEX(Interface_Prod!$C$41:$Q$41,1,Fleet_1GW!P$7)&gt;0,1,0),0)</f>
        <v>1</v>
      </c>
      <c r="Q40" s="87" t="n">
        <f aca="false">IF(ISNUMBER(INDEX(Interface_Prod!$C$41:$Q$41,1,Fleet_1GW!Q$7)),IF(INDEX(Interface_Prod!$C$41:$Q$41,1,Fleet_1GW!Q$7)&gt;0,1,0),0)</f>
        <v>1</v>
      </c>
      <c r="S40" s="87" t="n">
        <f aca="false">IF(ISNUMBER(INDEX(Interface_Prod!$S$41:$AG$41,1,Fleet_1GW!C$7)),IF(INDEX(Interface_Prod!$S$41:$AG$41,1,Fleet_1GW!C$7)&gt;0,1,0),0)</f>
        <v>1</v>
      </c>
      <c r="T40" s="87" t="n">
        <f aca="false">IF(ISNUMBER(INDEX(Interface_Prod!$S$41:$AG$41,1,Fleet_1GW!D$7)),IF(INDEX(Interface_Prod!$S$41:$AG$41,1,Fleet_1GW!D$7)&gt;0,1,0),0)</f>
        <v>1</v>
      </c>
      <c r="U40" s="87" t="n">
        <f aca="false">IF(ISNUMBER(INDEX(Interface_Prod!$S$41:$AG$41,1,Fleet_1GW!E$7)),IF(INDEX(Interface_Prod!$S$41:$AG$41,1,Fleet_1GW!E$7)&gt;0,1,0),0)</f>
        <v>1</v>
      </c>
      <c r="V40" s="87" t="n">
        <f aca="false">IF(ISNUMBER(INDEX(Interface_Prod!$S$41:$AG$41,1,Fleet_1GW!F$7)),IF(INDEX(Interface_Prod!$S$41:$AG$41,1,Fleet_1GW!F$7)&gt;0,1,0),0)</f>
        <v>1</v>
      </c>
      <c r="W40" s="87" t="n">
        <f aca="false">IF(ISNUMBER(INDEX(Interface_Prod!$S$41:$AG$41,1,Fleet_1GW!G$7)),IF(INDEX(Interface_Prod!$S$41:$AG$41,1,Fleet_1GW!G$7)&gt;0,1,0),0)</f>
        <v>1</v>
      </c>
      <c r="X40" s="87" t="n">
        <f aca="false">IF(ISNUMBER(INDEX(Interface_Prod!$S$41:$AG$41,1,Fleet_1GW!H$7)),IF(INDEX(Interface_Prod!$S$41:$AG$41,1,Fleet_1GW!H$7)&gt;0,1,0),0)</f>
        <v>1</v>
      </c>
      <c r="Y40" s="87" t="n">
        <f aca="false">IF(ISNUMBER(INDEX(Interface_Prod!$S$41:$AG$41,1,Fleet_1GW!I$7)),IF(INDEX(Interface_Prod!$S$41:$AG$41,1,Fleet_1GW!I$7)&gt;0,1,0),0)</f>
        <v>1</v>
      </c>
      <c r="Z40" s="87" t="n">
        <f aca="false">IF(ISNUMBER(INDEX(Interface_Prod!$S$41:$AG$41,1,Fleet_1GW!J$7)),IF(INDEX(Interface_Prod!$S$41:$AG$41,1,Fleet_1GW!J$7)&gt;0,1,0),0)</f>
        <v>1</v>
      </c>
      <c r="AA40" s="87" t="n">
        <f aca="false">IF(ISNUMBER(INDEX(Interface_Prod!$S$41:$AG$41,1,Fleet_1GW!K$7)),IF(INDEX(Interface_Prod!$S$41:$AG$41,1,Fleet_1GW!K$7)&gt;0,1,0),0)</f>
        <v>1</v>
      </c>
      <c r="AB40" s="87" t="n">
        <f aca="false">IF(ISNUMBER(INDEX(Interface_Prod!$S$41:$AG$41,1,Fleet_1GW!L$7)),IF(INDEX(Interface_Prod!$S$41:$AG$41,1,Fleet_1GW!L$7)&gt;0,1,0),0)</f>
        <v>1</v>
      </c>
      <c r="AC40" s="87" t="n">
        <f aca="false">IF(ISNUMBER(INDEX(Interface_Prod!$S$41:$AG$41,1,Fleet_1GW!M$7)),IF(INDEX(Interface_Prod!$S$41:$AG$41,1,Fleet_1GW!M$7)&gt;0,1,0),0)</f>
        <v>1</v>
      </c>
      <c r="AD40" s="87" t="n">
        <f aca="false">IF(ISNUMBER(INDEX(Interface_Prod!$S$41:$AG$41,1,Fleet_1GW!N$7)),IF(INDEX(Interface_Prod!$S$41:$AG$41,1,Fleet_1GW!N$7)&gt;0,1,0),0)</f>
        <v>1</v>
      </c>
      <c r="AE40" s="87" t="n">
        <f aca="false">IF(ISNUMBER(INDEX(Interface_Prod!$S$41:$AG$41,1,Fleet_1GW!O$7)),IF(INDEX(Interface_Prod!$S$41:$AG$41,1,Fleet_1GW!O$7)&gt;0,1,0),0)</f>
        <v>1</v>
      </c>
      <c r="AF40" s="87" t="n">
        <f aca="false">IF(ISNUMBER(INDEX(Interface_Prod!$S$41:$AG$41,1,Fleet_1GW!P$7)),IF(INDEX(Interface_Prod!$S$41:$AG$41,1,Fleet_1GW!P$7)&gt;0,1,0),0)</f>
        <v>1</v>
      </c>
      <c r="AG40" s="87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58" t="s">
        <v>1753</v>
      </c>
      <c r="B41" s="56" t="s">
        <v>93</v>
      </c>
      <c r="C41" s="107" t="n">
        <f aca="false">INDEX(B4_MixPaid,1,1)*Fleet_1GW_Prod!C38+INDEX(B4_MixPaid,1,2)*Fleet_1GW_Prod!C39+INDEX(B4_MixPaid,1,3)*Fleet_1GW_Prod!C40</f>
        <v>1</v>
      </c>
      <c r="D41" s="107" t="n">
        <f aca="false">INDEX(B4_MixPaid,1,1)*Fleet_1GW_Prod!D38+INDEX(B4_MixPaid,1,2)*Fleet_1GW_Prod!D39+INDEX(B4_MixPaid,1,3)*Fleet_1GW_Prod!D40</f>
        <v>1</v>
      </c>
      <c r="E41" s="107" t="n">
        <f aca="false">INDEX(B4_MixPaid,1,1)*Fleet_1GW_Prod!E38+INDEX(B4_MixPaid,1,2)*Fleet_1GW_Prod!E39+INDEX(B4_MixPaid,1,3)*Fleet_1GW_Prod!E40</f>
        <v>1</v>
      </c>
      <c r="F41" s="107" t="n">
        <f aca="false">INDEX(B4_MixPaid,1,1)*Fleet_1GW_Prod!F38+INDEX(B4_MixPaid,1,2)*Fleet_1GW_Prod!F39+INDEX(B4_MixPaid,1,3)*Fleet_1GW_Prod!F40</f>
        <v>1</v>
      </c>
      <c r="G41" s="107" t="n">
        <f aca="false">INDEX(B4_MixPaid,1,1)*Fleet_1GW_Prod!G38+INDEX(B4_MixPaid,1,2)*Fleet_1GW_Prod!G39+INDEX(B4_MixPaid,1,3)*Fleet_1GW_Prod!G40</f>
        <v>1</v>
      </c>
      <c r="H41" s="107" t="n">
        <f aca="false">INDEX(B4_MixPaid,1,1)*Fleet_1GW_Prod!H38+INDEX(B4_MixPaid,1,2)*Fleet_1GW_Prod!H39+INDEX(B4_MixPaid,1,3)*Fleet_1GW_Prod!H40</f>
        <v>1</v>
      </c>
      <c r="I41" s="107" t="n">
        <f aca="false">INDEX(B4_MixPaid,1,1)*Fleet_1GW_Prod!I38+INDEX(B4_MixPaid,1,2)*Fleet_1GW_Prod!I39+INDEX(B4_MixPaid,1,3)*Fleet_1GW_Prod!I40</f>
        <v>1</v>
      </c>
      <c r="J41" s="107" t="n">
        <f aca="false">INDEX(B4_MixPaid,1,1)*Fleet_1GW_Prod!J38+INDEX(B4_MixPaid,1,2)*Fleet_1GW_Prod!J39+INDEX(B4_MixPaid,1,3)*Fleet_1GW_Prod!J40</f>
        <v>1</v>
      </c>
      <c r="K41" s="107" t="n">
        <f aca="false">INDEX(B4_MixPaid,1,1)*Fleet_1GW_Prod!K38+INDEX(B4_MixPaid,1,2)*Fleet_1GW_Prod!K39+INDEX(B4_MixPaid,1,3)*Fleet_1GW_Prod!K40</f>
        <v>1</v>
      </c>
      <c r="L41" s="107" t="n">
        <f aca="false">INDEX(B4_MixPaid,1,1)*Fleet_1GW_Prod!L38+INDEX(B4_MixPaid,1,2)*Fleet_1GW_Prod!L39+INDEX(B4_MixPaid,1,3)*Fleet_1GW_Prod!L40</f>
        <v>1</v>
      </c>
      <c r="M41" s="107" t="n">
        <f aca="false">INDEX(B4_MixPaid,1,1)*Fleet_1GW_Prod!M38+INDEX(B4_MixPaid,1,2)*Fleet_1GW_Prod!M39+INDEX(B4_MixPaid,1,3)*Fleet_1GW_Prod!M40</f>
        <v>1</v>
      </c>
      <c r="N41" s="107" t="n">
        <f aca="false">INDEX(B4_MixPaid,1,1)*Fleet_1GW_Prod!N38+INDEX(B4_MixPaid,1,2)*Fleet_1GW_Prod!N39+INDEX(B4_MixPaid,1,3)*Fleet_1GW_Prod!N40</f>
        <v>1</v>
      </c>
      <c r="O41" s="107" t="n">
        <f aca="false">INDEX(B4_MixPaid,1,1)*Fleet_1GW_Prod!O38+INDEX(B4_MixPaid,1,2)*Fleet_1GW_Prod!O39+INDEX(B4_MixPaid,1,3)*Fleet_1GW_Prod!O40</f>
        <v>1</v>
      </c>
      <c r="P41" s="107" t="n">
        <f aca="false">INDEX(B4_MixPaid,1,1)*Fleet_1GW_Prod!P38+INDEX(B4_MixPaid,1,2)*Fleet_1GW_Prod!P39+INDEX(B4_MixPaid,1,3)*Fleet_1GW_Prod!P40</f>
        <v>1</v>
      </c>
      <c r="Q41" s="107" t="n">
        <f aca="false">INDEX(B4_MixPaid,1,1)*Fleet_1GW_Prod!Q38+INDEX(B4_MixPaid,1,2)*Fleet_1GW_Prod!Q39+INDEX(B4_MixPaid,1,3)*Fleet_1GW_Prod!Q40</f>
        <v>1</v>
      </c>
      <c r="S41" s="107" t="n">
        <f aca="false">INDEX(B4_MixPaid,1,1)*Fleet_1GW_Prod!S38+INDEX(B4_MixPaid,1,2)*Fleet_1GW_Prod!S39+INDEX(B4_MixPaid,1,3)*Fleet_1GW_Prod!S40</f>
        <v>1</v>
      </c>
      <c r="T41" s="107" t="n">
        <f aca="false">INDEX(B4_MixPaid,1,1)*Fleet_1GW_Prod!T38+INDEX(B4_MixPaid,1,2)*Fleet_1GW_Prod!T39+INDEX(B4_MixPaid,1,3)*Fleet_1GW_Prod!T40</f>
        <v>1</v>
      </c>
      <c r="U41" s="107" t="n">
        <f aca="false">INDEX(B4_MixPaid,1,1)*Fleet_1GW_Prod!U38+INDEX(B4_MixPaid,1,2)*Fleet_1GW_Prod!U39+INDEX(B4_MixPaid,1,3)*Fleet_1GW_Prod!U40</f>
        <v>1</v>
      </c>
      <c r="V41" s="107" t="n">
        <f aca="false">INDEX(B4_MixPaid,1,1)*Fleet_1GW_Prod!V38+INDEX(B4_MixPaid,1,2)*Fleet_1GW_Prod!V39+INDEX(B4_MixPaid,1,3)*Fleet_1GW_Prod!V40</f>
        <v>1</v>
      </c>
      <c r="W41" s="107" t="n">
        <f aca="false">INDEX(B4_MixPaid,1,1)*Fleet_1GW_Prod!W38+INDEX(B4_MixPaid,1,2)*Fleet_1GW_Prod!W39+INDEX(B4_MixPaid,1,3)*Fleet_1GW_Prod!W40</f>
        <v>1</v>
      </c>
      <c r="X41" s="107" t="n">
        <f aca="false">INDEX(B4_MixPaid,1,1)*Fleet_1GW_Prod!X38+INDEX(B4_MixPaid,1,2)*Fleet_1GW_Prod!X39+INDEX(B4_MixPaid,1,3)*Fleet_1GW_Prod!X40</f>
        <v>1</v>
      </c>
      <c r="Y41" s="107" t="n">
        <f aca="false">INDEX(B4_MixPaid,1,1)*Fleet_1GW_Prod!Y38+INDEX(B4_MixPaid,1,2)*Fleet_1GW_Prod!Y39+INDEX(B4_MixPaid,1,3)*Fleet_1GW_Prod!Y40</f>
        <v>1</v>
      </c>
      <c r="Z41" s="107" t="n">
        <f aca="false">INDEX(B4_MixPaid,1,1)*Fleet_1GW_Prod!Z38+INDEX(B4_MixPaid,1,2)*Fleet_1GW_Prod!Z39+INDEX(B4_MixPaid,1,3)*Fleet_1GW_Prod!Z40</f>
        <v>1</v>
      </c>
      <c r="AA41" s="107" t="n">
        <f aca="false">INDEX(B4_MixPaid,1,1)*Fleet_1GW_Prod!AA38+INDEX(B4_MixPaid,1,2)*Fleet_1GW_Prod!AA39+INDEX(B4_MixPaid,1,3)*Fleet_1GW_Prod!AA40</f>
        <v>1</v>
      </c>
      <c r="AB41" s="107" t="n">
        <f aca="false">INDEX(B4_MixPaid,1,1)*Fleet_1GW_Prod!AB38+INDEX(B4_MixPaid,1,2)*Fleet_1GW_Prod!AB39+INDEX(B4_MixPaid,1,3)*Fleet_1GW_Prod!AB40</f>
        <v>1</v>
      </c>
      <c r="AC41" s="107" t="n">
        <f aca="false">INDEX(B4_MixPaid,1,1)*Fleet_1GW_Prod!AC38+INDEX(B4_MixPaid,1,2)*Fleet_1GW_Prod!AC39+INDEX(B4_MixPaid,1,3)*Fleet_1GW_Prod!AC40</f>
        <v>1</v>
      </c>
      <c r="AD41" s="107" t="n">
        <f aca="false">INDEX(B4_MixPaid,1,1)*Fleet_1GW_Prod!AD38+INDEX(B4_MixPaid,1,2)*Fleet_1GW_Prod!AD39+INDEX(B4_MixPaid,1,3)*Fleet_1GW_Prod!AD40</f>
        <v>1</v>
      </c>
      <c r="AE41" s="107" t="n">
        <f aca="false">INDEX(B4_MixPaid,1,1)*Fleet_1GW_Prod!AE38+INDEX(B4_MixPaid,1,2)*Fleet_1GW_Prod!AE39+INDEX(B4_MixPaid,1,3)*Fleet_1GW_Prod!AE40</f>
        <v>1</v>
      </c>
      <c r="AF41" s="107" t="n">
        <f aca="false">INDEX(B4_MixPaid,1,1)*Fleet_1GW_Prod!AF38+INDEX(B4_MixPaid,1,2)*Fleet_1GW_Prod!AF39+INDEX(B4_MixPaid,1,3)*Fleet_1GW_Prod!AF40</f>
        <v>1</v>
      </c>
      <c r="AG41" s="107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58" t="s">
        <v>1754</v>
      </c>
      <c r="B42" s="56" t="s">
        <v>93</v>
      </c>
      <c r="C42" s="107" t="n">
        <f aca="false">INDEX(B4_MixFree,1,1)*Fleet_1GW_Prod!C38+INDEX(B4_MixFree,1,2)*Fleet_1GW_Prod!C39+INDEX(B4_MixFree,1,3)*Fleet_1GW_Prod!C40</f>
        <v>1</v>
      </c>
      <c r="D42" s="107" t="n">
        <f aca="false">INDEX(B4_MixFree,1,1)*Fleet_1GW_Prod!D38+INDEX(B4_MixFree,1,2)*Fleet_1GW_Prod!D39+INDEX(B4_MixFree,1,3)*Fleet_1GW_Prod!D40</f>
        <v>1</v>
      </c>
      <c r="E42" s="107" t="n">
        <f aca="false">INDEX(B4_MixFree,1,1)*Fleet_1GW_Prod!E38+INDEX(B4_MixFree,1,2)*Fleet_1GW_Prod!E39+INDEX(B4_MixFree,1,3)*Fleet_1GW_Prod!E40</f>
        <v>1</v>
      </c>
      <c r="F42" s="107" t="n">
        <f aca="false">INDEX(B4_MixFree,1,1)*Fleet_1GW_Prod!F38+INDEX(B4_MixFree,1,2)*Fleet_1GW_Prod!F39+INDEX(B4_MixFree,1,3)*Fleet_1GW_Prod!F40</f>
        <v>1</v>
      </c>
      <c r="G42" s="107" t="n">
        <f aca="false">INDEX(B4_MixFree,1,1)*Fleet_1GW_Prod!G38+INDEX(B4_MixFree,1,2)*Fleet_1GW_Prod!G39+INDEX(B4_MixFree,1,3)*Fleet_1GW_Prod!G40</f>
        <v>1</v>
      </c>
      <c r="H42" s="107" t="n">
        <f aca="false">INDEX(B4_MixFree,1,1)*Fleet_1GW_Prod!H38+INDEX(B4_MixFree,1,2)*Fleet_1GW_Prod!H39+INDEX(B4_MixFree,1,3)*Fleet_1GW_Prod!H40</f>
        <v>1</v>
      </c>
      <c r="I42" s="107" t="n">
        <f aca="false">INDEX(B4_MixFree,1,1)*Fleet_1GW_Prod!I38+INDEX(B4_MixFree,1,2)*Fleet_1GW_Prod!I39+INDEX(B4_MixFree,1,3)*Fleet_1GW_Prod!I40</f>
        <v>1</v>
      </c>
      <c r="J42" s="107" t="n">
        <f aca="false">INDEX(B4_MixFree,1,1)*Fleet_1GW_Prod!J38+INDEX(B4_MixFree,1,2)*Fleet_1GW_Prod!J39+INDEX(B4_MixFree,1,3)*Fleet_1GW_Prod!J40</f>
        <v>1</v>
      </c>
      <c r="K42" s="107" t="n">
        <f aca="false">INDEX(B4_MixFree,1,1)*Fleet_1GW_Prod!K38+INDEX(B4_MixFree,1,2)*Fleet_1GW_Prod!K39+INDEX(B4_MixFree,1,3)*Fleet_1GW_Prod!K40</f>
        <v>1</v>
      </c>
      <c r="L42" s="107" t="n">
        <f aca="false">INDEX(B4_MixFree,1,1)*Fleet_1GW_Prod!L38+INDEX(B4_MixFree,1,2)*Fleet_1GW_Prod!L39+INDEX(B4_MixFree,1,3)*Fleet_1GW_Prod!L40</f>
        <v>1</v>
      </c>
      <c r="M42" s="107" t="n">
        <f aca="false">INDEX(B4_MixFree,1,1)*Fleet_1GW_Prod!M38+INDEX(B4_MixFree,1,2)*Fleet_1GW_Prod!M39+INDEX(B4_MixFree,1,3)*Fleet_1GW_Prod!M40</f>
        <v>1</v>
      </c>
      <c r="N42" s="107" t="n">
        <f aca="false">INDEX(B4_MixFree,1,1)*Fleet_1GW_Prod!N38+INDEX(B4_MixFree,1,2)*Fleet_1GW_Prod!N39+INDEX(B4_MixFree,1,3)*Fleet_1GW_Prod!N40</f>
        <v>1</v>
      </c>
      <c r="O42" s="107" t="n">
        <f aca="false">INDEX(B4_MixFree,1,1)*Fleet_1GW_Prod!O38+INDEX(B4_MixFree,1,2)*Fleet_1GW_Prod!O39+INDEX(B4_MixFree,1,3)*Fleet_1GW_Prod!O40</f>
        <v>1</v>
      </c>
      <c r="P42" s="107" t="n">
        <f aca="false">INDEX(B4_MixFree,1,1)*Fleet_1GW_Prod!P38+INDEX(B4_MixFree,1,2)*Fleet_1GW_Prod!P39+INDEX(B4_MixFree,1,3)*Fleet_1GW_Prod!P40</f>
        <v>1</v>
      </c>
      <c r="Q42" s="107" t="n">
        <f aca="false">INDEX(B4_MixFree,1,1)*Fleet_1GW_Prod!Q38+INDEX(B4_MixFree,1,2)*Fleet_1GW_Prod!Q39+INDEX(B4_MixFree,1,3)*Fleet_1GW_Prod!Q40</f>
        <v>1</v>
      </c>
      <c r="S42" s="107" t="n">
        <f aca="false">INDEX(B4_MixFree,1,1)*Fleet_1GW_Prod!S38+INDEX(B4_MixFree,1,2)*Fleet_1GW_Prod!S39+INDEX(B4_MixFree,1,3)*Fleet_1GW_Prod!S40</f>
        <v>1</v>
      </c>
      <c r="T42" s="107" t="n">
        <f aca="false">INDEX(B4_MixFree,1,1)*Fleet_1GW_Prod!T38+INDEX(B4_MixFree,1,2)*Fleet_1GW_Prod!T39+INDEX(B4_MixFree,1,3)*Fleet_1GW_Prod!T40</f>
        <v>1</v>
      </c>
      <c r="U42" s="107" t="n">
        <f aca="false">INDEX(B4_MixFree,1,1)*Fleet_1GW_Prod!U38+INDEX(B4_MixFree,1,2)*Fleet_1GW_Prod!U39+INDEX(B4_MixFree,1,3)*Fleet_1GW_Prod!U40</f>
        <v>1</v>
      </c>
      <c r="V42" s="107" t="n">
        <f aca="false">INDEX(B4_MixFree,1,1)*Fleet_1GW_Prod!V38+INDEX(B4_MixFree,1,2)*Fleet_1GW_Prod!V39+INDEX(B4_MixFree,1,3)*Fleet_1GW_Prod!V40</f>
        <v>1</v>
      </c>
      <c r="W42" s="107" t="n">
        <f aca="false">INDEX(B4_MixFree,1,1)*Fleet_1GW_Prod!W38+INDEX(B4_MixFree,1,2)*Fleet_1GW_Prod!W39+INDEX(B4_MixFree,1,3)*Fleet_1GW_Prod!W40</f>
        <v>1</v>
      </c>
      <c r="X42" s="107" t="n">
        <f aca="false">INDEX(B4_MixFree,1,1)*Fleet_1GW_Prod!X38+INDEX(B4_MixFree,1,2)*Fleet_1GW_Prod!X39+INDEX(B4_MixFree,1,3)*Fleet_1GW_Prod!X40</f>
        <v>1</v>
      </c>
      <c r="Y42" s="107" t="n">
        <f aca="false">INDEX(B4_MixFree,1,1)*Fleet_1GW_Prod!Y38+INDEX(B4_MixFree,1,2)*Fleet_1GW_Prod!Y39+INDEX(B4_MixFree,1,3)*Fleet_1GW_Prod!Y40</f>
        <v>1</v>
      </c>
      <c r="Z42" s="107" t="n">
        <f aca="false">INDEX(B4_MixFree,1,1)*Fleet_1GW_Prod!Z38+INDEX(B4_MixFree,1,2)*Fleet_1GW_Prod!Z39+INDEX(B4_MixFree,1,3)*Fleet_1GW_Prod!Z40</f>
        <v>1</v>
      </c>
      <c r="AA42" s="107" t="n">
        <f aca="false">INDEX(B4_MixFree,1,1)*Fleet_1GW_Prod!AA38+INDEX(B4_MixFree,1,2)*Fleet_1GW_Prod!AA39+INDEX(B4_MixFree,1,3)*Fleet_1GW_Prod!AA40</f>
        <v>1</v>
      </c>
      <c r="AB42" s="107" t="n">
        <f aca="false">INDEX(B4_MixFree,1,1)*Fleet_1GW_Prod!AB38+INDEX(B4_MixFree,1,2)*Fleet_1GW_Prod!AB39+INDEX(B4_MixFree,1,3)*Fleet_1GW_Prod!AB40</f>
        <v>1</v>
      </c>
      <c r="AC42" s="107" t="n">
        <f aca="false">INDEX(B4_MixFree,1,1)*Fleet_1GW_Prod!AC38+INDEX(B4_MixFree,1,2)*Fleet_1GW_Prod!AC39+INDEX(B4_MixFree,1,3)*Fleet_1GW_Prod!AC40</f>
        <v>1</v>
      </c>
      <c r="AD42" s="107" t="n">
        <f aca="false">INDEX(B4_MixFree,1,1)*Fleet_1GW_Prod!AD38+INDEX(B4_MixFree,1,2)*Fleet_1GW_Prod!AD39+INDEX(B4_MixFree,1,3)*Fleet_1GW_Prod!AD40</f>
        <v>1</v>
      </c>
      <c r="AE42" s="107" t="n">
        <f aca="false">INDEX(B4_MixFree,1,1)*Fleet_1GW_Prod!AE38+INDEX(B4_MixFree,1,2)*Fleet_1GW_Prod!AE39+INDEX(B4_MixFree,1,3)*Fleet_1GW_Prod!AE40</f>
        <v>1</v>
      </c>
      <c r="AF42" s="107" t="n">
        <f aca="false">INDEX(B4_MixFree,1,1)*Fleet_1GW_Prod!AF38+INDEX(B4_MixFree,1,2)*Fleet_1GW_Prod!AF39+INDEX(B4_MixFree,1,3)*Fleet_1GW_Prod!AF40</f>
        <v>1</v>
      </c>
      <c r="AG42" s="107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59" t="s">
        <v>1756</v>
      </c>
      <c r="B44" s="56" t="s">
        <v>93</v>
      </c>
      <c r="C44" s="107" t="n">
        <f aca="false">IF(Fleet_1GW_Prod!C41&gt;0,INDEX(B4_MixPaid,1,1)*Fleet_1GW_Prod!C38/Fleet_1GW_Prod!C41,0)</f>
        <v>0.4</v>
      </c>
      <c r="D44" s="107" t="n">
        <f aca="false">IF(Fleet_1GW_Prod!D41&gt;0,INDEX(B4_MixPaid,1,1)*Fleet_1GW_Prod!D38/Fleet_1GW_Prod!D41,0)</f>
        <v>0.4</v>
      </c>
      <c r="E44" s="107" t="n">
        <f aca="false">IF(Fleet_1GW_Prod!E41&gt;0,INDEX(B4_MixPaid,1,1)*Fleet_1GW_Prod!E38/Fleet_1GW_Prod!E41,0)</f>
        <v>0.4</v>
      </c>
      <c r="F44" s="107" t="n">
        <f aca="false">IF(Fleet_1GW_Prod!F41&gt;0,INDEX(B4_MixPaid,1,1)*Fleet_1GW_Prod!F38/Fleet_1GW_Prod!F41,0)</f>
        <v>0.4</v>
      </c>
      <c r="G44" s="107" t="n">
        <f aca="false">IF(Fleet_1GW_Prod!G41&gt;0,INDEX(B4_MixPaid,1,1)*Fleet_1GW_Prod!G38/Fleet_1GW_Prod!G41,0)</f>
        <v>0.4</v>
      </c>
      <c r="H44" s="107" t="n">
        <f aca="false">IF(Fleet_1GW_Prod!H41&gt;0,INDEX(B4_MixPaid,1,1)*Fleet_1GW_Prod!H38/Fleet_1GW_Prod!H41,0)</f>
        <v>0.4</v>
      </c>
      <c r="I44" s="107" t="n">
        <f aca="false">IF(Fleet_1GW_Prod!I41&gt;0,INDEX(B4_MixPaid,1,1)*Fleet_1GW_Prod!I38/Fleet_1GW_Prod!I41,0)</f>
        <v>0.4</v>
      </c>
      <c r="J44" s="107" t="n">
        <f aca="false">IF(Fleet_1GW_Prod!J41&gt;0,INDEX(B4_MixPaid,1,1)*Fleet_1GW_Prod!J38/Fleet_1GW_Prod!J41,0)</f>
        <v>0.4</v>
      </c>
      <c r="K44" s="107" t="n">
        <f aca="false">IF(Fleet_1GW_Prod!K41&gt;0,INDEX(B4_MixPaid,1,1)*Fleet_1GW_Prod!K38/Fleet_1GW_Prod!K41,0)</f>
        <v>0.4</v>
      </c>
      <c r="L44" s="107" t="n">
        <f aca="false">IF(Fleet_1GW_Prod!L41&gt;0,INDEX(B4_MixPaid,1,1)*Fleet_1GW_Prod!L38/Fleet_1GW_Prod!L41,0)</f>
        <v>0.4</v>
      </c>
      <c r="M44" s="107" t="n">
        <f aca="false">IF(Fleet_1GW_Prod!M41&gt;0,INDEX(B4_MixPaid,1,1)*Fleet_1GW_Prod!M38/Fleet_1GW_Prod!M41,0)</f>
        <v>0.4</v>
      </c>
      <c r="N44" s="107" t="n">
        <f aca="false">IF(Fleet_1GW_Prod!N41&gt;0,INDEX(B4_MixPaid,1,1)*Fleet_1GW_Prod!N38/Fleet_1GW_Prod!N41,0)</f>
        <v>0.4</v>
      </c>
      <c r="O44" s="107" t="n">
        <f aca="false">IF(Fleet_1GW_Prod!O41&gt;0,INDEX(B4_MixPaid,1,1)*Fleet_1GW_Prod!O38/Fleet_1GW_Prod!O41,0)</f>
        <v>0.4</v>
      </c>
      <c r="P44" s="107" t="n">
        <f aca="false">IF(Fleet_1GW_Prod!P41&gt;0,INDEX(B4_MixPaid,1,1)*Fleet_1GW_Prod!P38/Fleet_1GW_Prod!P41,0)</f>
        <v>0.4</v>
      </c>
      <c r="Q44" s="107" t="n">
        <f aca="false">IF(Fleet_1GW_Prod!Q41&gt;0,INDEX(B4_MixPaid,1,1)*Fleet_1GW_Prod!Q38/Fleet_1GW_Prod!Q41,0)</f>
        <v>0.4</v>
      </c>
      <c r="S44" s="107" t="n">
        <f aca="false">IF(Fleet_1GW_Prod!S41&gt;0,INDEX(B4_MixPaid,1,1)*Fleet_1GW_Prod!S38/Fleet_1GW_Prod!S41,0)</f>
        <v>0.4</v>
      </c>
      <c r="T44" s="107" t="n">
        <f aca="false">IF(Fleet_1GW_Prod!T41&gt;0,INDEX(B4_MixPaid,1,1)*Fleet_1GW_Prod!T38/Fleet_1GW_Prod!T41,0)</f>
        <v>0.4</v>
      </c>
      <c r="U44" s="107" t="n">
        <f aca="false">IF(Fleet_1GW_Prod!U41&gt;0,INDEX(B4_MixPaid,1,1)*Fleet_1GW_Prod!U38/Fleet_1GW_Prod!U41,0)</f>
        <v>0.4</v>
      </c>
      <c r="V44" s="107" t="n">
        <f aca="false">IF(Fleet_1GW_Prod!V41&gt;0,INDEX(B4_MixPaid,1,1)*Fleet_1GW_Prod!V38/Fleet_1GW_Prod!V41,0)</f>
        <v>0.4</v>
      </c>
      <c r="W44" s="107" t="n">
        <f aca="false">IF(Fleet_1GW_Prod!W41&gt;0,INDEX(B4_MixPaid,1,1)*Fleet_1GW_Prod!W38/Fleet_1GW_Prod!W41,0)</f>
        <v>0.4</v>
      </c>
      <c r="X44" s="107" t="n">
        <f aca="false">IF(Fleet_1GW_Prod!X41&gt;0,INDEX(B4_MixPaid,1,1)*Fleet_1GW_Prod!X38/Fleet_1GW_Prod!X41,0)</f>
        <v>0.4</v>
      </c>
      <c r="Y44" s="107" t="n">
        <f aca="false">IF(Fleet_1GW_Prod!Y41&gt;0,INDEX(B4_MixPaid,1,1)*Fleet_1GW_Prod!Y38/Fleet_1GW_Prod!Y41,0)</f>
        <v>0.4</v>
      </c>
      <c r="Z44" s="107" t="n">
        <f aca="false">IF(Fleet_1GW_Prod!Z41&gt;0,INDEX(B4_MixPaid,1,1)*Fleet_1GW_Prod!Z38/Fleet_1GW_Prod!Z41,0)</f>
        <v>0.4</v>
      </c>
      <c r="AA44" s="107" t="n">
        <f aca="false">IF(Fleet_1GW_Prod!AA41&gt;0,INDEX(B4_MixPaid,1,1)*Fleet_1GW_Prod!AA38/Fleet_1GW_Prod!AA41,0)</f>
        <v>0.4</v>
      </c>
      <c r="AB44" s="107" t="n">
        <f aca="false">IF(Fleet_1GW_Prod!AB41&gt;0,INDEX(B4_MixPaid,1,1)*Fleet_1GW_Prod!AB38/Fleet_1GW_Prod!AB41,0)</f>
        <v>0.4</v>
      </c>
      <c r="AC44" s="107" t="n">
        <f aca="false">IF(Fleet_1GW_Prod!AC41&gt;0,INDEX(B4_MixPaid,1,1)*Fleet_1GW_Prod!AC38/Fleet_1GW_Prod!AC41,0)</f>
        <v>0.4</v>
      </c>
      <c r="AD44" s="107" t="n">
        <f aca="false">IF(Fleet_1GW_Prod!AD41&gt;0,INDEX(B4_MixPaid,1,1)*Fleet_1GW_Prod!AD38/Fleet_1GW_Prod!AD41,0)</f>
        <v>0.4</v>
      </c>
      <c r="AE44" s="107" t="n">
        <f aca="false">IF(Fleet_1GW_Prod!AE41&gt;0,INDEX(B4_MixPaid,1,1)*Fleet_1GW_Prod!AE38/Fleet_1GW_Prod!AE41,0)</f>
        <v>0.4</v>
      </c>
      <c r="AF44" s="107" t="n">
        <f aca="false">IF(Fleet_1GW_Prod!AF41&gt;0,INDEX(B4_MixPaid,1,1)*Fleet_1GW_Prod!AF38/Fleet_1GW_Prod!AF41,0)</f>
        <v>0.4</v>
      </c>
      <c r="AG44" s="107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59" t="s">
        <v>1757</v>
      </c>
      <c r="B45" s="56" t="s">
        <v>93</v>
      </c>
      <c r="C45" s="107" t="n">
        <f aca="false">IF(Fleet_1GW_Prod!C41&gt;0,INDEX(B4_MixPaid,1,2)*Fleet_1GW_Prod!C39/Fleet_1GW_Prod!C41,0)</f>
        <v>0.45</v>
      </c>
      <c r="D45" s="107" t="n">
        <f aca="false">IF(Fleet_1GW_Prod!D41&gt;0,INDEX(B4_MixPaid,1,2)*Fleet_1GW_Prod!D39/Fleet_1GW_Prod!D41,0)</f>
        <v>0.45</v>
      </c>
      <c r="E45" s="107" t="n">
        <f aca="false">IF(Fleet_1GW_Prod!E41&gt;0,INDEX(B4_MixPaid,1,2)*Fleet_1GW_Prod!E39/Fleet_1GW_Prod!E41,0)</f>
        <v>0.45</v>
      </c>
      <c r="F45" s="107" t="n">
        <f aca="false">IF(Fleet_1GW_Prod!F41&gt;0,INDEX(B4_MixPaid,1,2)*Fleet_1GW_Prod!F39/Fleet_1GW_Prod!F41,0)</f>
        <v>0.45</v>
      </c>
      <c r="G45" s="107" t="n">
        <f aca="false">IF(Fleet_1GW_Prod!G41&gt;0,INDEX(B4_MixPaid,1,2)*Fleet_1GW_Prod!G39/Fleet_1GW_Prod!G41,0)</f>
        <v>0.45</v>
      </c>
      <c r="H45" s="107" t="n">
        <f aca="false">IF(Fleet_1GW_Prod!H41&gt;0,INDEX(B4_MixPaid,1,2)*Fleet_1GW_Prod!H39/Fleet_1GW_Prod!H41,0)</f>
        <v>0.45</v>
      </c>
      <c r="I45" s="107" t="n">
        <f aca="false">IF(Fleet_1GW_Prod!I41&gt;0,INDEX(B4_MixPaid,1,2)*Fleet_1GW_Prod!I39/Fleet_1GW_Prod!I41,0)</f>
        <v>0.45</v>
      </c>
      <c r="J45" s="107" t="n">
        <f aca="false">IF(Fleet_1GW_Prod!J41&gt;0,INDEX(B4_MixPaid,1,2)*Fleet_1GW_Prod!J39/Fleet_1GW_Prod!J41,0)</f>
        <v>0.45</v>
      </c>
      <c r="K45" s="107" t="n">
        <f aca="false">IF(Fleet_1GW_Prod!K41&gt;0,INDEX(B4_MixPaid,1,2)*Fleet_1GW_Prod!K39/Fleet_1GW_Prod!K41,0)</f>
        <v>0.45</v>
      </c>
      <c r="L45" s="107" t="n">
        <f aca="false">IF(Fleet_1GW_Prod!L41&gt;0,INDEX(B4_MixPaid,1,2)*Fleet_1GW_Prod!L39/Fleet_1GW_Prod!L41,0)</f>
        <v>0.45</v>
      </c>
      <c r="M45" s="107" t="n">
        <f aca="false">IF(Fleet_1GW_Prod!M41&gt;0,INDEX(B4_MixPaid,1,2)*Fleet_1GW_Prod!M39/Fleet_1GW_Prod!M41,0)</f>
        <v>0.45</v>
      </c>
      <c r="N45" s="107" t="n">
        <f aca="false">IF(Fleet_1GW_Prod!N41&gt;0,INDEX(B4_MixPaid,1,2)*Fleet_1GW_Prod!N39/Fleet_1GW_Prod!N41,0)</f>
        <v>0.45</v>
      </c>
      <c r="O45" s="107" t="n">
        <f aca="false">IF(Fleet_1GW_Prod!O41&gt;0,INDEX(B4_MixPaid,1,2)*Fleet_1GW_Prod!O39/Fleet_1GW_Prod!O41,0)</f>
        <v>0.45</v>
      </c>
      <c r="P45" s="107" t="n">
        <f aca="false">IF(Fleet_1GW_Prod!P41&gt;0,INDEX(B4_MixPaid,1,2)*Fleet_1GW_Prod!P39/Fleet_1GW_Prod!P41,0)</f>
        <v>0.45</v>
      </c>
      <c r="Q45" s="107" t="n">
        <f aca="false">IF(Fleet_1GW_Prod!Q41&gt;0,INDEX(B4_MixPaid,1,2)*Fleet_1GW_Prod!Q39/Fleet_1GW_Prod!Q41,0)</f>
        <v>0.45</v>
      </c>
      <c r="S45" s="107" t="n">
        <f aca="false">IF(Fleet_1GW_Prod!S41&gt;0,INDEX(B4_MixPaid,1,2)*Fleet_1GW_Prod!S39/Fleet_1GW_Prod!S41,0)</f>
        <v>0.45</v>
      </c>
      <c r="T45" s="107" t="n">
        <f aca="false">IF(Fleet_1GW_Prod!T41&gt;0,INDEX(B4_MixPaid,1,2)*Fleet_1GW_Prod!T39/Fleet_1GW_Prod!T41,0)</f>
        <v>0.45</v>
      </c>
      <c r="U45" s="107" t="n">
        <f aca="false">IF(Fleet_1GW_Prod!U41&gt;0,INDEX(B4_MixPaid,1,2)*Fleet_1GW_Prod!U39/Fleet_1GW_Prod!U41,0)</f>
        <v>0.45</v>
      </c>
      <c r="V45" s="107" t="n">
        <f aca="false">IF(Fleet_1GW_Prod!V41&gt;0,INDEX(B4_MixPaid,1,2)*Fleet_1GW_Prod!V39/Fleet_1GW_Prod!V41,0)</f>
        <v>0.45</v>
      </c>
      <c r="W45" s="107" t="n">
        <f aca="false">IF(Fleet_1GW_Prod!W41&gt;0,INDEX(B4_MixPaid,1,2)*Fleet_1GW_Prod!W39/Fleet_1GW_Prod!W41,0)</f>
        <v>0.45</v>
      </c>
      <c r="X45" s="107" t="n">
        <f aca="false">IF(Fleet_1GW_Prod!X41&gt;0,INDEX(B4_MixPaid,1,2)*Fleet_1GW_Prod!X39/Fleet_1GW_Prod!X41,0)</f>
        <v>0.45</v>
      </c>
      <c r="Y45" s="107" t="n">
        <f aca="false">IF(Fleet_1GW_Prod!Y41&gt;0,INDEX(B4_MixPaid,1,2)*Fleet_1GW_Prod!Y39/Fleet_1GW_Prod!Y41,0)</f>
        <v>0.45</v>
      </c>
      <c r="Z45" s="107" t="n">
        <f aca="false">IF(Fleet_1GW_Prod!Z41&gt;0,INDEX(B4_MixPaid,1,2)*Fleet_1GW_Prod!Z39/Fleet_1GW_Prod!Z41,0)</f>
        <v>0.45</v>
      </c>
      <c r="AA45" s="107" t="n">
        <f aca="false">IF(Fleet_1GW_Prod!AA41&gt;0,INDEX(B4_MixPaid,1,2)*Fleet_1GW_Prod!AA39/Fleet_1GW_Prod!AA41,0)</f>
        <v>0.45</v>
      </c>
      <c r="AB45" s="107" t="n">
        <f aca="false">IF(Fleet_1GW_Prod!AB41&gt;0,INDEX(B4_MixPaid,1,2)*Fleet_1GW_Prod!AB39/Fleet_1GW_Prod!AB41,0)</f>
        <v>0.45</v>
      </c>
      <c r="AC45" s="107" t="n">
        <f aca="false">IF(Fleet_1GW_Prod!AC41&gt;0,INDEX(B4_MixPaid,1,2)*Fleet_1GW_Prod!AC39/Fleet_1GW_Prod!AC41,0)</f>
        <v>0.45</v>
      </c>
      <c r="AD45" s="107" t="n">
        <f aca="false">IF(Fleet_1GW_Prod!AD41&gt;0,INDEX(B4_MixPaid,1,2)*Fleet_1GW_Prod!AD39/Fleet_1GW_Prod!AD41,0)</f>
        <v>0.45</v>
      </c>
      <c r="AE45" s="107" t="n">
        <f aca="false">IF(Fleet_1GW_Prod!AE41&gt;0,INDEX(B4_MixPaid,1,2)*Fleet_1GW_Prod!AE39/Fleet_1GW_Prod!AE41,0)</f>
        <v>0.45</v>
      </c>
      <c r="AF45" s="107" t="n">
        <f aca="false">IF(Fleet_1GW_Prod!AF41&gt;0,INDEX(B4_MixPaid,1,2)*Fleet_1GW_Prod!AF39/Fleet_1GW_Prod!AF41,0)</f>
        <v>0.45</v>
      </c>
      <c r="AG45" s="107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59" t="s">
        <v>1758</v>
      </c>
      <c r="B46" s="56" t="s">
        <v>93</v>
      </c>
      <c r="C46" s="107" t="n">
        <f aca="false">IF(Fleet_1GW_Prod!C41&gt;0,INDEX(B4_MixPaid,1,3)*Fleet_1GW_Prod!C40/Fleet_1GW_Prod!C41,0)</f>
        <v>0.15</v>
      </c>
      <c r="D46" s="107" t="n">
        <f aca="false">IF(Fleet_1GW_Prod!D41&gt;0,INDEX(B4_MixPaid,1,3)*Fleet_1GW_Prod!D40/Fleet_1GW_Prod!D41,0)</f>
        <v>0.15</v>
      </c>
      <c r="E46" s="107" t="n">
        <f aca="false">IF(Fleet_1GW_Prod!E41&gt;0,INDEX(B4_MixPaid,1,3)*Fleet_1GW_Prod!E40/Fleet_1GW_Prod!E41,0)</f>
        <v>0.15</v>
      </c>
      <c r="F46" s="107" t="n">
        <f aca="false">IF(Fleet_1GW_Prod!F41&gt;0,INDEX(B4_MixPaid,1,3)*Fleet_1GW_Prod!F40/Fleet_1GW_Prod!F41,0)</f>
        <v>0.15</v>
      </c>
      <c r="G46" s="107" t="n">
        <f aca="false">IF(Fleet_1GW_Prod!G41&gt;0,INDEX(B4_MixPaid,1,3)*Fleet_1GW_Prod!G40/Fleet_1GW_Prod!G41,0)</f>
        <v>0.15</v>
      </c>
      <c r="H46" s="107" t="n">
        <f aca="false">IF(Fleet_1GW_Prod!H41&gt;0,INDEX(B4_MixPaid,1,3)*Fleet_1GW_Prod!H40/Fleet_1GW_Prod!H41,0)</f>
        <v>0.15</v>
      </c>
      <c r="I46" s="107" t="n">
        <f aca="false">IF(Fleet_1GW_Prod!I41&gt;0,INDEX(B4_MixPaid,1,3)*Fleet_1GW_Prod!I40/Fleet_1GW_Prod!I41,0)</f>
        <v>0.15</v>
      </c>
      <c r="J46" s="107" t="n">
        <f aca="false">IF(Fleet_1GW_Prod!J41&gt;0,INDEX(B4_MixPaid,1,3)*Fleet_1GW_Prod!J40/Fleet_1GW_Prod!J41,0)</f>
        <v>0.15</v>
      </c>
      <c r="K46" s="107" t="n">
        <f aca="false">IF(Fleet_1GW_Prod!K41&gt;0,INDEX(B4_MixPaid,1,3)*Fleet_1GW_Prod!K40/Fleet_1GW_Prod!K41,0)</f>
        <v>0.15</v>
      </c>
      <c r="L46" s="107" t="n">
        <f aca="false">IF(Fleet_1GW_Prod!L41&gt;0,INDEX(B4_MixPaid,1,3)*Fleet_1GW_Prod!L40/Fleet_1GW_Prod!L41,0)</f>
        <v>0.15</v>
      </c>
      <c r="M46" s="107" t="n">
        <f aca="false">IF(Fleet_1GW_Prod!M41&gt;0,INDEX(B4_MixPaid,1,3)*Fleet_1GW_Prod!M40/Fleet_1GW_Prod!M41,0)</f>
        <v>0.15</v>
      </c>
      <c r="N46" s="107" t="n">
        <f aca="false">IF(Fleet_1GW_Prod!N41&gt;0,INDEX(B4_MixPaid,1,3)*Fleet_1GW_Prod!N40/Fleet_1GW_Prod!N41,0)</f>
        <v>0.15</v>
      </c>
      <c r="O46" s="107" t="n">
        <f aca="false">IF(Fleet_1GW_Prod!O41&gt;0,INDEX(B4_MixPaid,1,3)*Fleet_1GW_Prod!O40/Fleet_1GW_Prod!O41,0)</f>
        <v>0.15</v>
      </c>
      <c r="P46" s="107" t="n">
        <f aca="false">IF(Fleet_1GW_Prod!P41&gt;0,INDEX(B4_MixPaid,1,3)*Fleet_1GW_Prod!P40/Fleet_1GW_Prod!P41,0)</f>
        <v>0.15</v>
      </c>
      <c r="Q46" s="107" t="n">
        <f aca="false">IF(Fleet_1GW_Prod!Q41&gt;0,INDEX(B4_MixPaid,1,3)*Fleet_1GW_Prod!Q40/Fleet_1GW_Prod!Q41,0)</f>
        <v>0.15</v>
      </c>
      <c r="S46" s="107" t="n">
        <f aca="false">IF(Fleet_1GW_Prod!S41&gt;0,INDEX(B4_MixPaid,1,3)*Fleet_1GW_Prod!S40/Fleet_1GW_Prod!S41,0)</f>
        <v>0.15</v>
      </c>
      <c r="T46" s="107" t="n">
        <f aca="false">IF(Fleet_1GW_Prod!T41&gt;0,INDEX(B4_MixPaid,1,3)*Fleet_1GW_Prod!T40/Fleet_1GW_Prod!T41,0)</f>
        <v>0.15</v>
      </c>
      <c r="U46" s="107" t="n">
        <f aca="false">IF(Fleet_1GW_Prod!U41&gt;0,INDEX(B4_MixPaid,1,3)*Fleet_1GW_Prod!U40/Fleet_1GW_Prod!U41,0)</f>
        <v>0.15</v>
      </c>
      <c r="V46" s="107" t="n">
        <f aca="false">IF(Fleet_1GW_Prod!V41&gt;0,INDEX(B4_MixPaid,1,3)*Fleet_1GW_Prod!V40/Fleet_1GW_Prod!V41,0)</f>
        <v>0.15</v>
      </c>
      <c r="W46" s="107" t="n">
        <f aca="false">IF(Fleet_1GW_Prod!W41&gt;0,INDEX(B4_MixPaid,1,3)*Fleet_1GW_Prod!W40/Fleet_1GW_Prod!W41,0)</f>
        <v>0.15</v>
      </c>
      <c r="X46" s="107" t="n">
        <f aca="false">IF(Fleet_1GW_Prod!X41&gt;0,INDEX(B4_MixPaid,1,3)*Fleet_1GW_Prod!X40/Fleet_1GW_Prod!X41,0)</f>
        <v>0.15</v>
      </c>
      <c r="Y46" s="107" t="n">
        <f aca="false">IF(Fleet_1GW_Prod!Y41&gt;0,INDEX(B4_MixPaid,1,3)*Fleet_1GW_Prod!Y40/Fleet_1GW_Prod!Y41,0)</f>
        <v>0.15</v>
      </c>
      <c r="Z46" s="107" t="n">
        <f aca="false">IF(Fleet_1GW_Prod!Z41&gt;0,INDEX(B4_MixPaid,1,3)*Fleet_1GW_Prod!Z40/Fleet_1GW_Prod!Z41,0)</f>
        <v>0.15</v>
      </c>
      <c r="AA46" s="107" t="n">
        <f aca="false">IF(Fleet_1GW_Prod!AA41&gt;0,INDEX(B4_MixPaid,1,3)*Fleet_1GW_Prod!AA40/Fleet_1GW_Prod!AA41,0)</f>
        <v>0.15</v>
      </c>
      <c r="AB46" s="107" t="n">
        <f aca="false">IF(Fleet_1GW_Prod!AB41&gt;0,INDEX(B4_MixPaid,1,3)*Fleet_1GW_Prod!AB40/Fleet_1GW_Prod!AB41,0)</f>
        <v>0.15</v>
      </c>
      <c r="AC46" s="107" t="n">
        <f aca="false">IF(Fleet_1GW_Prod!AC41&gt;0,INDEX(B4_MixPaid,1,3)*Fleet_1GW_Prod!AC40/Fleet_1GW_Prod!AC41,0)</f>
        <v>0.15</v>
      </c>
      <c r="AD46" s="107" t="n">
        <f aca="false">IF(Fleet_1GW_Prod!AD41&gt;0,INDEX(B4_MixPaid,1,3)*Fleet_1GW_Prod!AD40/Fleet_1GW_Prod!AD41,0)</f>
        <v>0.15</v>
      </c>
      <c r="AE46" s="107" t="n">
        <f aca="false">IF(Fleet_1GW_Prod!AE41&gt;0,INDEX(B4_MixPaid,1,3)*Fleet_1GW_Prod!AE40/Fleet_1GW_Prod!AE41,0)</f>
        <v>0.15</v>
      </c>
      <c r="AF46" s="107" t="n">
        <f aca="false">IF(Fleet_1GW_Prod!AF41&gt;0,INDEX(B4_MixPaid,1,3)*Fleet_1GW_Prod!AF40/Fleet_1GW_Prod!AF41,0)</f>
        <v>0.15</v>
      </c>
      <c r="AG46" s="107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2344</v>
      </c>
    </row>
    <row r="2" customFormat="false" ht="15" hidden="false" customHeight="false" outlineLevel="0" collapsed="false">
      <c r="A2" s="71" t="s">
        <v>2345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Amortize!A4</f>
        <v>世代</v>
      </c>
      <c r="C4" s="90" t="str">
        <f aca="false">Amortize!C4</f>
        <v>Hopper H100</v>
      </c>
      <c r="D4" s="90" t="str">
        <f aca="false">Amortize!D4</f>
        <v>Hopper H100</v>
      </c>
      <c r="E4" s="90" t="str">
        <f aca="false">Amortize!E4</f>
        <v>Hopper H100</v>
      </c>
      <c r="F4" s="90" t="str">
        <f aca="false">Amortize!F4</f>
        <v>GB200 NVL72</v>
      </c>
      <c r="G4" s="90" t="str">
        <f aca="false">Amortize!G4</f>
        <v>GB200 NVL72</v>
      </c>
      <c r="H4" s="90" t="str">
        <f aca="false">Amortize!H4</f>
        <v>GB200 NVL72</v>
      </c>
      <c r="I4" s="90" t="str">
        <f aca="false">Amortize!I4</f>
        <v>GB300 NVL72</v>
      </c>
      <c r="J4" s="90" t="str">
        <f aca="false">Amortize!J4</f>
        <v>GB300 NVL72</v>
      </c>
      <c r="K4" s="90" t="str">
        <f aca="false">Amortize!K4</f>
        <v>GB300 NVL72</v>
      </c>
      <c r="L4" s="90" t="str">
        <f aca="false">Amortize!L4</f>
        <v>VR200 NVL72</v>
      </c>
      <c r="M4" s="90" t="str">
        <f aca="false">Amortize!M4</f>
        <v>VR200 NVL72</v>
      </c>
      <c r="N4" s="90" t="str">
        <f aca="false">Amortize!N4</f>
        <v>VR200 NVL72</v>
      </c>
      <c r="O4" s="90" t="str">
        <f aca="false">Amortize!O4</f>
        <v>Rubin Ultra（MGX NVL 單架，72 GPU）</v>
      </c>
      <c r="P4" s="90" t="str">
        <f aca="false">Amortize!P4</f>
        <v>Rubin Ultra（MGX NVL 單架，72 GPU）</v>
      </c>
      <c r="Q4" s="90" t="str">
        <f aca="false">Amortize!Q4</f>
        <v>Rubin Ultra（MGX NVL 單架，72 GPU）</v>
      </c>
      <c r="S4" s="90" t="str">
        <f aca="false">Amortize!C4</f>
        <v>Hopper H100</v>
      </c>
      <c r="T4" s="90" t="str">
        <f aca="false">Amortize!D4</f>
        <v>Hopper H100</v>
      </c>
      <c r="U4" s="90" t="str">
        <f aca="false">Amortize!E4</f>
        <v>Hopper H100</v>
      </c>
      <c r="V4" s="90" t="str">
        <f aca="false">Amortize!F4</f>
        <v>GB200 NVL72</v>
      </c>
      <c r="W4" s="90" t="str">
        <f aca="false">Amortize!G4</f>
        <v>GB200 NVL72</v>
      </c>
      <c r="X4" s="90" t="str">
        <f aca="false">Amortize!H4</f>
        <v>GB200 NVL72</v>
      </c>
      <c r="Y4" s="90" t="str">
        <f aca="false">Amortize!I4</f>
        <v>GB300 NVL72</v>
      </c>
      <c r="Z4" s="90" t="str">
        <f aca="false">Amortize!J4</f>
        <v>GB300 NVL72</v>
      </c>
      <c r="AA4" s="90" t="str">
        <f aca="false">Amortize!K4</f>
        <v>GB300 NVL72</v>
      </c>
      <c r="AB4" s="90" t="str">
        <f aca="false">Amortize!L4</f>
        <v>VR200 NVL72</v>
      </c>
      <c r="AC4" s="90" t="str">
        <f aca="false">Amortize!M4</f>
        <v>VR200 NVL72</v>
      </c>
      <c r="AD4" s="90" t="str">
        <f aca="false">Amortize!N4</f>
        <v>VR200 NVL72</v>
      </c>
      <c r="AE4" s="90" t="str">
        <f aca="false">Amortize!O4</f>
        <v>Rubin Ultra（MGX NVL 單架，72 GPU）</v>
      </c>
      <c r="AF4" s="90" t="str">
        <f aca="false">Amortize!P4</f>
        <v>Rubin Ultra（MGX NVL 單架，72 GPU）</v>
      </c>
      <c r="AG4" s="90" t="str">
        <f aca="false">Amortize!Q4</f>
        <v>Rubin Ultra（MGX NVL 單架，72 GPU）</v>
      </c>
    </row>
    <row r="5" customFormat="false" ht="15" hidden="false" customHeight="false" outlineLevel="0" collapsed="false">
      <c r="A5" s="90" t="str">
        <f aca="false">Amortize!A5</f>
        <v>成本情境</v>
      </c>
      <c r="C5" s="90" t="str">
        <f aca="false">Amortize!C5</f>
        <v>低成本</v>
      </c>
      <c r="D5" s="90" t="str">
        <f aca="false">Amortize!D5</f>
        <v>基準</v>
      </c>
      <c r="E5" s="90" t="str">
        <f aca="false">Amortize!E5</f>
        <v>高成本</v>
      </c>
      <c r="F5" s="90" t="str">
        <f aca="false">Amortize!F5</f>
        <v>低成本</v>
      </c>
      <c r="G5" s="90" t="str">
        <f aca="false">Amortize!G5</f>
        <v>基準</v>
      </c>
      <c r="H5" s="90" t="str">
        <f aca="false">Amortize!H5</f>
        <v>高成本</v>
      </c>
      <c r="I5" s="90" t="str">
        <f aca="false">Amortize!I5</f>
        <v>低成本</v>
      </c>
      <c r="J5" s="90" t="str">
        <f aca="false">Amortize!J5</f>
        <v>基準</v>
      </c>
      <c r="K5" s="90" t="str">
        <f aca="false">Amortize!K5</f>
        <v>高成本</v>
      </c>
      <c r="L5" s="90" t="str">
        <f aca="false">Amortize!L5</f>
        <v>低成本</v>
      </c>
      <c r="M5" s="90" t="str">
        <f aca="false">Amortize!M5</f>
        <v>基準</v>
      </c>
      <c r="N5" s="90" t="str">
        <f aca="false">Amortize!N5</f>
        <v>高成本</v>
      </c>
      <c r="O5" s="90" t="str">
        <f aca="false">Amortize!O5</f>
        <v>低成本</v>
      </c>
      <c r="P5" s="90" t="str">
        <f aca="false">Amortize!P5</f>
        <v>基準</v>
      </c>
      <c r="Q5" s="90" t="str">
        <f aca="false">Amortize!Q5</f>
        <v>高成本</v>
      </c>
      <c r="S5" s="90" t="str">
        <f aca="false">Amortize!C5</f>
        <v>低成本</v>
      </c>
      <c r="T5" s="90" t="str">
        <f aca="false">Amortize!D5</f>
        <v>基準</v>
      </c>
      <c r="U5" s="90" t="str">
        <f aca="false">Amortize!E5</f>
        <v>高成本</v>
      </c>
      <c r="V5" s="90" t="str">
        <f aca="false">Amortize!F5</f>
        <v>低成本</v>
      </c>
      <c r="W5" s="90" t="str">
        <f aca="false">Amortize!G5</f>
        <v>基準</v>
      </c>
      <c r="X5" s="90" t="str">
        <f aca="false">Amortize!H5</f>
        <v>高成本</v>
      </c>
      <c r="Y5" s="90" t="str">
        <f aca="false">Amortize!I5</f>
        <v>低成本</v>
      </c>
      <c r="Z5" s="90" t="str">
        <f aca="false">Amortize!J5</f>
        <v>基準</v>
      </c>
      <c r="AA5" s="90" t="str">
        <f aca="false">Amortize!K5</f>
        <v>高成本</v>
      </c>
      <c r="AB5" s="90" t="str">
        <f aca="false">Amortize!L5</f>
        <v>低成本</v>
      </c>
      <c r="AC5" s="90" t="str">
        <f aca="false">Amortize!M5</f>
        <v>基準</v>
      </c>
      <c r="AD5" s="90" t="str">
        <f aca="false">Amortize!N5</f>
        <v>高成本</v>
      </c>
      <c r="AE5" s="90" t="str">
        <f aca="false">Amortize!O5</f>
        <v>低成本</v>
      </c>
      <c r="AF5" s="90" t="str">
        <f aca="false">Amortize!P5</f>
        <v>基準</v>
      </c>
      <c r="AG5" s="90" t="str">
        <f aca="false">Amortize!Q5</f>
        <v>高成本</v>
      </c>
    </row>
    <row r="6" customFormat="false" ht="15" hidden="false" customHeight="false" outlineLevel="0" collapsed="false">
      <c r="A6" s="90" t="str">
        <f aca="false">Amortize!A6</f>
        <v>世代索引</v>
      </c>
      <c r="C6" s="87" t="n">
        <f aca="false">Amortize!C6</f>
        <v>1</v>
      </c>
      <c r="D6" s="87" t="n">
        <f aca="false">Amortize!D6</f>
        <v>1</v>
      </c>
      <c r="E6" s="87" t="n">
        <f aca="false">Amortize!E6</f>
        <v>1</v>
      </c>
      <c r="F6" s="87" t="n">
        <f aca="false">Amortize!F6</f>
        <v>2</v>
      </c>
      <c r="G6" s="87" t="n">
        <f aca="false">Amortize!G6</f>
        <v>2</v>
      </c>
      <c r="H6" s="87" t="n">
        <f aca="false">Amortize!H6</f>
        <v>2</v>
      </c>
      <c r="I6" s="87" t="n">
        <f aca="false">Amortize!I6</f>
        <v>3</v>
      </c>
      <c r="J6" s="87" t="n">
        <f aca="false">Amortize!J6</f>
        <v>3</v>
      </c>
      <c r="K6" s="87" t="n">
        <f aca="false">Amortize!K6</f>
        <v>3</v>
      </c>
      <c r="L6" s="87" t="n">
        <f aca="false">Amortize!L6</f>
        <v>4</v>
      </c>
      <c r="M6" s="87" t="n">
        <f aca="false">Amortize!M6</f>
        <v>4</v>
      </c>
      <c r="N6" s="87" t="n">
        <f aca="false">Amortize!N6</f>
        <v>4</v>
      </c>
      <c r="O6" s="87" t="n">
        <f aca="false">Amortize!O6</f>
        <v>5</v>
      </c>
      <c r="P6" s="87" t="n">
        <f aca="false">Amortize!P6</f>
        <v>5</v>
      </c>
      <c r="Q6" s="87" t="n">
        <f aca="false">Amortize!Q6</f>
        <v>5</v>
      </c>
      <c r="S6" s="87" t="n">
        <f aca="false">Amortize!C6</f>
        <v>1</v>
      </c>
      <c r="T6" s="87" t="n">
        <f aca="false">Amortize!D6</f>
        <v>1</v>
      </c>
      <c r="U6" s="87" t="n">
        <f aca="false">Amortize!E6</f>
        <v>1</v>
      </c>
      <c r="V6" s="87" t="n">
        <f aca="false">Amortize!F6</f>
        <v>2</v>
      </c>
      <c r="W6" s="87" t="n">
        <f aca="false">Amortize!G6</f>
        <v>2</v>
      </c>
      <c r="X6" s="87" t="n">
        <f aca="false">Amortize!H6</f>
        <v>2</v>
      </c>
      <c r="Y6" s="87" t="n">
        <f aca="false">Amortize!I6</f>
        <v>3</v>
      </c>
      <c r="Z6" s="87" t="n">
        <f aca="false">Amortize!J6</f>
        <v>3</v>
      </c>
      <c r="AA6" s="87" t="n">
        <f aca="false">Amortize!K6</f>
        <v>3</v>
      </c>
      <c r="AB6" s="87" t="n">
        <f aca="false">Amortize!L6</f>
        <v>4</v>
      </c>
      <c r="AC6" s="87" t="n">
        <f aca="false">Amortize!M6</f>
        <v>4</v>
      </c>
      <c r="AD6" s="87" t="n">
        <f aca="false">Amortize!N6</f>
        <v>4</v>
      </c>
      <c r="AE6" s="87" t="n">
        <f aca="false">Amortize!O6</f>
        <v>5</v>
      </c>
      <c r="AF6" s="87" t="n">
        <f aca="false">Amortize!P6</f>
        <v>5</v>
      </c>
      <c r="AG6" s="87" t="n">
        <f aca="false">Amortize!Q6</f>
        <v>5</v>
      </c>
    </row>
    <row r="7" customFormat="false" ht="15" hidden="false" customHeight="false" outlineLevel="0" collapsed="false">
      <c r="A7" s="90" t="str">
        <f aca="false">Amortize!A7</f>
        <v>欄索引</v>
      </c>
      <c r="C7" s="87" t="n">
        <f aca="false">Amortize!C7</f>
        <v>1</v>
      </c>
      <c r="D7" s="87" t="n">
        <f aca="false">Amortize!D7</f>
        <v>2</v>
      </c>
      <c r="E7" s="87" t="n">
        <f aca="false">Amortize!E7</f>
        <v>3</v>
      </c>
      <c r="F7" s="87" t="n">
        <f aca="false">Amortize!F7</f>
        <v>4</v>
      </c>
      <c r="G7" s="87" t="n">
        <f aca="false">Amortize!G7</f>
        <v>5</v>
      </c>
      <c r="H7" s="87" t="n">
        <f aca="false">Amortize!H7</f>
        <v>6</v>
      </c>
      <c r="I7" s="87" t="n">
        <f aca="false">Amortize!I7</f>
        <v>7</v>
      </c>
      <c r="J7" s="87" t="n">
        <f aca="false">Amortize!J7</f>
        <v>8</v>
      </c>
      <c r="K7" s="87" t="n">
        <f aca="false">Amortize!K7</f>
        <v>9</v>
      </c>
      <c r="L7" s="87" t="n">
        <f aca="false">Amortize!L7</f>
        <v>10</v>
      </c>
      <c r="M7" s="87" t="n">
        <f aca="false">Amortize!M7</f>
        <v>11</v>
      </c>
      <c r="N7" s="87" t="n">
        <f aca="false">Amortize!N7</f>
        <v>12</v>
      </c>
      <c r="O7" s="87" t="n">
        <f aca="false">Amortize!O7</f>
        <v>13</v>
      </c>
      <c r="P7" s="87" t="n">
        <f aca="false">Amortize!P7</f>
        <v>14</v>
      </c>
      <c r="Q7" s="87" t="n">
        <f aca="false">Amortize!Q7</f>
        <v>15</v>
      </c>
      <c r="S7" s="87" t="n">
        <f aca="false">Amortize!C7</f>
        <v>1</v>
      </c>
      <c r="T7" s="87" t="n">
        <f aca="false">Amortize!D7</f>
        <v>2</v>
      </c>
      <c r="U7" s="87" t="n">
        <f aca="false">Amortize!E7</f>
        <v>3</v>
      </c>
      <c r="V7" s="87" t="n">
        <f aca="false">Amortize!F7</f>
        <v>4</v>
      </c>
      <c r="W7" s="87" t="n">
        <f aca="false">Amortize!G7</f>
        <v>5</v>
      </c>
      <c r="X7" s="87" t="n">
        <f aca="false">Amortize!H7</f>
        <v>6</v>
      </c>
      <c r="Y7" s="87" t="n">
        <f aca="false">Amortize!I7</f>
        <v>7</v>
      </c>
      <c r="Z7" s="87" t="n">
        <f aca="false">Amortize!J7</f>
        <v>8</v>
      </c>
      <c r="AA7" s="87" t="n">
        <f aca="false">Amortize!K7</f>
        <v>9</v>
      </c>
      <c r="AB7" s="87" t="n">
        <f aca="false">Amortize!L7</f>
        <v>10</v>
      </c>
      <c r="AC7" s="87" t="n">
        <f aca="false">Amortize!M7</f>
        <v>11</v>
      </c>
      <c r="AD7" s="87" t="n">
        <f aca="false">Amortize!N7</f>
        <v>12</v>
      </c>
      <c r="AE7" s="87" t="n">
        <f aca="false">Amortize!O7</f>
        <v>13</v>
      </c>
      <c r="AF7" s="87" t="n">
        <f aca="false">Amortize!P7</f>
        <v>14</v>
      </c>
      <c r="AG7" s="87" t="n">
        <f aca="false">Amortize!Q7</f>
        <v>15</v>
      </c>
    </row>
    <row r="10" customFormat="false" ht="15" hidden="false" customHeight="false" outlineLevel="0" collapsed="false">
      <c r="A10" s="58" t="s">
        <v>1764</v>
      </c>
      <c r="B10" s="56" t="s">
        <v>865</v>
      </c>
      <c r="C10" s="96" t="n">
        <f aca="false">INDEX(Interface_Prod!$C$60:$Q$60,1,Amortize!C$7)</f>
        <v>62.4155150508185</v>
      </c>
      <c r="D10" s="96" t="n">
        <f aca="false">INDEX(Interface_Prod!$C$60:$Q$60,1,Amortize!D$7)</f>
        <v>89.1792862643289</v>
      </c>
      <c r="E10" s="96" t="n">
        <f aca="false">INDEX(Interface_Prod!$C$60:$Q$60,1,Amortize!E$7)</f>
        <v>153.153635281764</v>
      </c>
      <c r="F10" s="96" t="n">
        <f aca="false">INDEX(Interface_Prod!$C$60:$Q$60,1,Amortize!F$7)</f>
        <v>27.4775824046781</v>
      </c>
      <c r="G10" s="96" t="n">
        <f aca="false">INDEX(Interface_Prod!$C$60:$Q$60,1,Amortize!G$7)</f>
        <v>36.6883525928678</v>
      </c>
      <c r="H10" s="96" t="n">
        <f aca="false">INDEX(Interface_Prod!$C$60:$Q$60,1,Amortize!H$7)</f>
        <v>59.5055585713732</v>
      </c>
      <c r="I10" s="96" t="n">
        <f aca="false">INDEX(Interface_Prod!$C$60:$Q$60,1,Amortize!I$7)</f>
        <v>30.2861025630403</v>
      </c>
      <c r="J10" s="96" t="n">
        <f aca="false">INDEX(Interface_Prod!$C$60:$Q$60,1,Amortize!J$7)</f>
        <v>39.1162541425544</v>
      </c>
      <c r="K10" s="96" t="n">
        <f aca="false">INDEX(Interface_Prod!$C$60:$Q$60,1,Amortize!K$7)</f>
        <v>66.5973298121782</v>
      </c>
      <c r="L10" s="96" t="n">
        <f aca="false">INDEX(Interface_Prod!$C$60:$Q$60,1,Amortize!L$7)</f>
        <v>23.1455603488781</v>
      </c>
      <c r="M10" s="96" t="n">
        <f aca="false">INDEX(Interface_Prod!$C$60:$Q$60,1,Amortize!M$7)</f>
        <v>29.748011853968</v>
      </c>
      <c r="N10" s="96" t="n">
        <f aca="false">INDEX(Interface_Prod!$C$60:$Q$60,1,Amortize!N$7)</f>
        <v>48.0588343455326</v>
      </c>
      <c r="O10" s="96" t="n">
        <f aca="false">INDEX(Interface_Prod!$C$60:$Q$60,1,Amortize!O$7)</f>
        <v>15.7174016683683</v>
      </c>
      <c r="P10" s="96" t="n">
        <f aca="false">INDEX(Interface_Prod!$C$60:$Q$60,1,Amortize!P$7)</f>
        <v>23.8882954288152</v>
      </c>
      <c r="Q10" s="96" t="n">
        <f aca="false">INDEX(Interface_Prod!$C$60:$Q$60,1,Amortize!Q$7)</f>
        <v>43.6090740867206</v>
      </c>
      <c r="S10" s="96" t="n">
        <f aca="false">INDEX(Interface_Prod!$S$60:$AG$60,1,Amortize!C$7)</f>
        <v>55.2274524338284</v>
      </c>
      <c r="T10" s="96" t="n">
        <f aca="false">INDEX(Interface_Prod!$S$60:$AG$60,1,Amortize!D$7)</f>
        <v>78.9089825860758</v>
      </c>
      <c r="U10" s="96" t="n">
        <f aca="false">INDEX(Interface_Prod!$S$60:$AG$60,1,Amortize!E$7)</f>
        <v>135.515746376599</v>
      </c>
      <c r="V10" s="96" t="n">
        <f aca="false">INDEX(Interface_Prod!$S$60:$AG$60,1,Amortize!F$7)</f>
        <v>25.0277109184711</v>
      </c>
      <c r="W10" s="96" t="n">
        <f aca="false">INDEX(Interface_Prod!$S$60:$AG$60,1,Amortize!G$7)</f>
        <v>33.4172588128753</v>
      </c>
      <c r="X10" s="96" t="n">
        <f aca="false">INDEX(Interface_Prod!$S$60:$AG$60,1,Amortize!H$7)</f>
        <v>54.2001074196734</v>
      </c>
      <c r="Y10" s="96" t="n">
        <f aca="false">INDEX(Interface_Prod!$S$60:$AG$60,1,Amortize!I$7)</f>
        <v>28.059514355151</v>
      </c>
      <c r="Z10" s="96" t="n">
        <f aca="false">INDEX(Interface_Prod!$S$60:$AG$60,1,Amortize!J$7)</f>
        <v>36.2404866175213</v>
      </c>
      <c r="AA10" s="96" t="n">
        <f aca="false">INDEX(Interface_Prod!$S$60:$AG$60,1,Amortize!K$7)</f>
        <v>61.7011953911825</v>
      </c>
      <c r="AB10" s="96" t="n">
        <f aca="false">INDEX(Interface_Prod!$S$60:$AG$60,1,Amortize!L$7)</f>
        <v>20.9678485935643</v>
      </c>
      <c r="AC10" s="96" t="n">
        <f aca="false">INDEX(Interface_Prod!$S$60:$AG$60,1,Amortize!M$7)</f>
        <v>26.9490908455707</v>
      </c>
      <c r="AD10" s="96" t="n">
        <f aca="false">INDEX(Interface_Prod!$S$60:$AG$60,1,Amortize!N$7)</f>
        <v>43.5370907833372</v>
      </c>
      <c r="AE10" s="96" t="n">
        <f aca="false">INDEX(Interface_Prod!$S$60:$AG$60,1,Amortize!O$7)</f>
        <v>14.4511701546132</v>
      </c>
      <c r="AF10" s="96" t="n">
        <f aca="false">INDEX(Interface_Prod!$S$60:$AG$60,1,Amortize!P$7)</f>
        <v>21.9637971484962</v>
      </c>
      <c r="AG10" s="96" t="n">
        <f aca="false">INDEX(Interface_Prod!$S$60:$AG$60,1,Amortize!Q$7)</f>
        <v>40.0958226562748</v>
      </c>
    </row>
    <row r="12" customFormat="false" ht="15" hidden="false" customHeight="false" outlineLevel="0" collapsed="false">
      <c r="A12" s="58" t="s">
        <v>1766</v>
      </c>
      <c r="B12" s="56" t="s">
        <v>1767</v>
      </c>
      <c r="C12" s="60" t="n">
        <f aca="false">IF(ISNUMBER(Fleet_1GW_Prod!C21),Fleet_1GW_Prod!C21*INDEX(B4_Life,1,1)/12,"SLO 不可達")</f>
        <v>457589628.482374</v>
      </c>
      <c r="D12" s="60" t="n">
        <f aca="false">IF(ISNUMBER(Fleet_1GW_Prod!D21),Fleet_1GW_Prod!D21*INDEX(B4_Life,1,1)/12,"SLO 不可達")</f>
        <v>457589628.482374</v>
      </c>
      <c r="E12" s="60" t="n">
        <f aca="false">IF(ISNUMBER(Fleet_1GW_Prod!E21),Fleet_1GW_Prod!E21*INDEX(B4_Life,1,1)/12,"SLO 不可達")</f>
        <v>457589628.482374</v>
      </c>
      <c r="F12" s="60" t="n">
        <f aca="false">IF(ISNUMBER(Fleet_1GW_Prod!F21),Fleet_1GW_Prod!F21*INDEX(B4_Life,1,1)/12,"SLO 不可達")</f>
        <v>3118345717.62809</v>
      </c>
      <c r="G12" s="60" t="n">
        <f aca="false">IF(ISNUMBER(Fleet_1GW_Prod!G21),Fleet_1GW_Prod!G21*INDEX(B4_Life,1,1)/12,"SLO 不可達")</f>
        <v>3118345717.62809</v>
      </c>
      <c r="H12" s="60" t="n">
        <f aca="false">IF(ISNUMBER(Fleet_1GW_Prod!H21),Fleet_1GW_Prod!H21*INDEX(B4_Life,1,1)/12,"SLO 不可達")</f>
        <v>3118345717.62809</v>
      </c>
      <c r="I12" s="60" t="n">
        <f aca="false">IF(ISNUMBER(Fleet_1GW_Prod!I21),Fleet_1GW_Prod!I21*INDEX(B4_Life,1,1)/12,"SLO 不可達")</f>
        <v>3923640540.72866</v>
      </c>
      <c r="J12" s="60" t="n">
        <f aca="false">IF(ISNUMBER(Fleet_1GW_Prod!J21),Fleet_1GW_Prod!J21*INDEX(B4_Life,1,1)/12,"SLO 不可達")</f>
        <v>3923640540.72866</v>
      </c>
      <c r="K12" s="60" t="n">
        <f aca="false">IF(ISNUMBER(Fleet_1GW_Prod!K21),Fleet_1GW_Prod!K21*INDEX(B4_Life,1,1)/12,"SLO 不可達")</f>
        <v>3923640540.72866</v>
      </c>
      <c r="L12" s="60" t="n">
        <f aca="false">IF(ISNUMBER(Fleet_1GW_Prod!L21),Fleet_1GW_Prod!L21*INDEX(B4_Life,1,1)/12,"SLO 不可達")</f>
        <v>7775798941.83008</v>
      </c>
      <c r="M12" s="60" t="n">
        <f aca="false">IF(ISNUMBER(Fleet_1GW_Prod!M21),Fleet_1GW_Prod!M21*INDEX(B4_Life,1,1)/12,"SLO 不可達")</f>
        <v>7775798941.83008</v>
      </c>
      <c r="N12" s="60" t="n">
        <f aca="false">IF(ISNUMBER(Fleet_1GW_Prod!N21),Fleet_1GW_Prod!N21*INDEX(B4_Life,1,1)/12,"SLO 不可達")</f>
        <v>7775798941.83008</v>
      </c>
      <c r="O12" s="60" t="n">
        <f aca="false">IF(ISNUMBER(Fleet_1GW_Prod!O21),Fleet_1GW_Prod!O21*INDEX(B4_Life,1,1)/12,"SLO 不可達")</f>
        <v>11101923691.8132</v>
      </c>
      <c r="P12" s="60" t="n">
        <f aca="false">IF(ISNUMBER(Fleet_1GW_Prod!P21),Fleet_1GW_Prod!P21*INDEX(B4_Life,1,1)/12,"SLO 不可達")</f>
        <v>11101923691.8132</v>
      </c>
      <c r="Q12" s="60" t="n">
        <f aca="false">IF(ISNUMBER(Fleet_1GW_Prod!Q21),Fleet_1GW_Prod!Q21*INDEX(B4_Life,1,1)/12,"SLO 不可達")</f>
        <v>11101923691.8132</v>
      </c>
      <c r="S12" s="60" t="n">
        <f aca="false">IF(ISNUMBER(Fleet_1GW_Prod!S21),Fleet_1GW_Prod!S21*INDEX(B4_Life,1,1)/12,"SLO 不可達")</f>
        <v>817042419.593355</v>
      </c>
      <c r="T12" s="60" t="n">
        <f aca="false">IF(ISNUMBER(Fleet_1GW_Prod!T21),Fleet_1GW_Prod!T21*INDEX(B4_Life,1,1)/12,"SLO 不可達")</f>
        <v>817042419.593355</v>
      </c>
      <c r="U12" s="60" t="n">
        <f aca="false">IF(ISNUMBER(Fleet_1GW_Prod!U21),Fleet_1GW_Prod!U21*INDEX(B4_Life,1,1)/12,"SLO 不可達")</f>
        <v>817042419.593355</v>
      </c>
      <c r="V12" s="60" t="n">
        <f aca="false">IF(ISNUMBER(Fleet_1GW_Prod!V21),Fleet_1GW_Prod!V21*INDEX(B4_Life,1,1)/12,"SLO 不可達")</f>
        <v>4115849928.14302</v>
      </c>
      <c r="W12" s="60" t="n">
        <f aca="false">IF(ISNUMBER(Fleet_1GW_Prod!W21),Fleet_1GW_Prod!W21*INDEX(B4_Life,1,1)/12,"SLO 不可達")</f>
        <v>4115849928.14302</v>
      </c>
      <c r="X12" s="60" t="n">
        <f aca="false">IF(ISNUMBER(Fleet_1GW_Prod!X21),Fleet_1GW_Prod!X21*INDEX(B4_Life,1,1)/12,"SLO 不可達")</f>
        <v>4115849928.14302</v>
      </c>
      <c r="Y12" s="60" t="n">
        <f aca="false">IF(ISNUMBER(Fleet_1GW_Prod!Y21),Fleet_1GW_Prod!Y21*INDEX(B4_Life,1,1)/12,"SLO 不可達")</f>
        <v>5358405295.61443</v>
      </c>
      <c r="Z12" s="60" t="n">
        <f aca="false">IF(ISNUMBER(Fleet_1GW_Prod!Z21),Fleet_1GW_Prod!Z21*INDEX(B4_Life,1,1)/12,"SLO 不可達")</f>
        <v>5358405295.61443</v>
      </c>
      <c r="AA12" s="60" t="n">
        <f aca="false">IF(ISNUMBER(Fleet_1GW_Prod!AA21),Fleet_1GW_Prod!AA21*INDEX(B4_Life,1,1)/12,"SLO 不可達")</f>
        <v>5358405295.61443</v>
      </c>
      <c r="AB12" s="60" t="n">
        <f aca="false">IF(ISNUMBER(Fleet_1GW_Prod!AB21),Fleet_1GW_Prod!AB21*INDEX(B4_Life,1,1)/12,"SLO 不可達")</f>
        <v>9940186549.66862</v>
      </c>
      <c r="AC12" s="60" t="n">
        <f aca="false">IF(ISNUMBER(Fleet_1GW_Prod!AC21),Fleet_1GW_Prod!AC21*INDEX(B4_Life,1,1)/12,"SLO 不可達")</f>
        <v>9940186549.66862</v>
      </c>
      <c r="AD12" s="60" t="n">
        <f aca="false">IF(ISNUMBER(Fleet_1GW_Prod!AD21),Fleet_1GW_Prod!AD21*INDEX(B4_Life,1,1)/12,"SLO 不可達")</f>
        <v>9940186549.66862</v>
      </c>
      <c r="AE12" s="60" t="n">
        <f aca="false">IF(ISNUMBER(Fleet_1GW_Prod!AE21),Fleet_1GW_Prod!AE21*INDEX(B4_Life,1,1)/12,"SLO 不可達")</f>
        <v>14062015619.0357</v>
      </c>
      <c r="AF12" s="60" t="n">
        <f aca="false">IF(ISNUMBER(Fleet_1GW_Prod!AF21),Fleet_1GW_Prod!AF21*INDEX(B4_Life,1,1)/12,"SLO 不可達")</f>
        <v>14062015619.0357</v>
      </c>
      <c r="AG12" s="60" t="n">
        <f aca="false">IF(ISNUMBER(Fleet_1GW_Prod!AG21),Fleet_1GW_Prod!AG21*INDEX(B4_Life,1,1)/12,"SLO 不可達")</f>
        <v>14062015619.0357</v>
      </c>
    </row>
    <row r="13" customFormat="false" ht="15" hidden="false" customHeight="false" outlineLevel="0" collapsed="false">
      <c r="A13" s="58" t="s">
        <v>1768</v>
      </c>
      <c r="B13" s="56" t="s">
        <v>795</v>
      </c>
      <c r="C13" s="173" t="n">
        <f aca="false">IF(AND(ISNUMBER(Amortize_Prod!C12),ISNUMBER(Amortize_Prod!C10)),IF(Amortize_Prod!C12&gt;0,Amortize_Prod!C10*1000000/Amortize_Prod!C12,0),"SLO 不可達")</f>
        <v>0.136400633156446</v>
      </c>
      <c r="D13" s="173" t="n">
        <f aca="false">IF(AND(ISNUMBER(Amortize_Prod!D12),ISNUMBER(Amortize_Prod!D10)),IF(Amortize_Prod!D12&gt;0,Amortize_Prod!D10*1000000/Amortize_Prod!D12,0),"SLO 不可達")</f>
        <v>0.194889221069319</v>
      </c>
      <c r="E13" s="173" t="n">
        <f aca="false">IF(AND(ISNUMBER(Amortize_Prod!E12),ISNUMBER(Amortize_Prod!E10)),IF(Amortize_Prod!E12&gt;0,Amortize_Prod!E10*1000000/Amortize_Prod!E12,0),"SLO 不可達")</f>
        <v>0.334696474196121</v>
      </c>
      <c r="F13" s="173" t="n">
        <f aca="false">IF(AND(ISNUMBER(Amortize_Prod!F12),ISNUMBER(Amortize_Prod!F10)),IF(Amortize_Prod!F12&gt;0,Amortize_Prod!F10*1000000/Amortize_Prod!F12,0),"SLO 不可達")</f>
        <v>0.00881158950700899</v>
      </c>
      <c r="G13" s="173" t="n">
        <f aca="false">IF(AND(ISNUMBER(Amortize_Prod!G12),ISNUMBER(Amortize_Prod!G10)),IF(Amortize_Prod!G12&gt;0,Amortize_Prod!G10*1000000/Amortize_Prod!G12,0),"SLO 不可達")</f>
        <v>0.0117653255652405</v>
      </c>
      <c r="H13" s="173" t="n">
        <f aca="false">IF(AND(ISNUMBER(Amortize_Prod!H12),ISNUMBER(Amortize_Prod!H10)),IF(Amortize_Prod!H12&gt;0,Amortize_Prod!H10*1000000/Amortize_Prod!H12,0),"SLO 不可達")</f>
        <v>0.0190824122658969</v>
      </c>
      <c r="I13" s="173" t="n">
        <f aca="false">IF(AND(ISNUMBER(Amortize_Prod!I12),ISNUMBER(Amortize_Prod!I10)),IF(Amortize_Prod!I12&gt;0,Amortize_Prod!I10*1000000/Amortize_Prod!I12,0),"SLO 不可達")</f>
        <v>0.00771887797790361</v>
      </c>
      <c r="J13" s="173" t="n">
        <f aca="false">IF(AND(ISNUMBER(Amortize_Prod!J12),ISNUMBER(Amortize_Prod!J10)),IF(Amortize_Prod!J12&gt;0,Amortize_Prod!J10*1000000/Amortize_Prod!J12,0),"SLO 不可達")</f>
        <v>0.00996937760646393</v>
      </c>
      <c r="K13" s="173" t="n">
        <f aca="false">IF(AND(ISNUMBER(Amortize_Prod!K12),ISNUMBER(Amortize_Prod!K10)),IF(Amortize_Prod!K12&gt;0,Amortize_Prod!K10*1000000/Amortize_Prod!K12,0),"SLO 不可達")</f>
        <v>0.0169733514374919</v>
      </c>
      <c r="L13" s="173" t="n">
        <f aca="false">IF(AND(ISNUMBER(Amortize_Prod!L12),ISNUMBER(Amortize_Prod!L10)),IF(Amortize_Prod!L12&gt;0,Amortize_Prod!L10*1000000/Amortize_Prod!L12,0),"SLO 不可達")</f>
        <v>0.00297661507480165</v>
      </c>
      <c r="M13" s="173" t="n">
        <f aca="false">IF(AND(ISNUMBER(Amortize_Prod!M12),ISNUMBER(Amortize_Prod!M10)),IF(Amortize_Prod!M12&gt;0,Amortize_Prod!M10*1000000/Amortize_Prod!M12,0),"SLO 不可達")</f>
        <v>0.00382571772707984</v>
      </c>
      <c r="N13" s="173" t="n">
        <f aca="false">IF(AND(ISNUMBER(Amortize_Prod!N12),ISNUMBER(Amortize_Prod!N10)),IF(Amortize_Prod!N12&gt;0,Amortize_Prod!N10*1000000/Amortize_Prod!N12,0),"SLO 不可達")</f>
        <v>0.00618056545765337</v>
      </c>
      <c r="O13" s="173" t="n">
        <f aca="false">IF(AND(ISNUMBER(Amortize_Prod!O12),ISNUMBER(Amortize_Prod!O10)),IF(Amortize_Prod!O12&gt;0,Amortize_Prod!O10*1000000/Amortize_Prod!O12,0),"SLO 不可達")</f>
        <v>0.00141573677721804</v>
      </c>
      <c r="P13" s="173" t="n">
        <f aca="false">IF(AND(ISNUMBER(Amortize_Prod!P12),ISNUMBER(Amortize_Prod!P10)),IF(Amortize_Prod!P12&gt;0,Amortize_Prod!P10*1000000/Amortize_Prod!P12,0),"SLO 不可達")</f>
        <v>0.00215172578122032</v>
      </c>
      <c r="Q13" s="173" t="n">
        <f aca="false">IF(AND(ISNUMBER(Amortize_Prod!Q12),ISNUMBER(Amortize_Prod!Q10)),IF(Amortize_Prod!Q12&gt;0,Amortize_Prod!Q10*1000000/Amortize_Prod!Q12,0),"SLO 不可達")</f>
        <v>0.00392806465773844</v>
      </c>
      <c r="S13" s="173" t="n">
        <f aca="false">IF(AND(ISNUMBER(Amortize_Prod!S12),ISNUMBER(Amortize_Prod!S10)),IF(Amortize_Prod!S12&gt;0,Amortize_Prod!S10*1000000/Amortize_Prod!S12,0),"SLO 不可達")</f>
        <v>0.0675943514185168</v>
      </c>
      <c r="T13" s="173" t="n">
        <f aca="false">IF(AND(ISNUMBER(Amortize_Prod!T12),ISNUMBER(Amortize_Prod!T10)),IF(Amortize_Prod!T12&gt;0,Amortize_Prod!T10*1000000/Amortize_Prod!T12,0),"SLO 不可達")</f>
        <v>0.0965788075303962</v>
      </c>
      <c r="U13" s="173" t="n">
        <f aca="false">IF(AND(ISNUMBER(Amortize_Prod!U12),ISNUMBER(Amortize_Prod!U10)),IF(Amortize_Prod!U12&gt;0,Amortize_Prod!U10*1000000/Amortize_Prod!U12,0),"SLO 不可達")</f>
        <v>0.165861334891334</v>
      </c>
      <c r="V13" s="173" t="n">
        <f aca="false">IF(AND(ISNUMBER(Amortize_Prod!V12),ISNUMBER(Amortize_Prod!V10)),IF(Amortize_Prod!V12&gt;0,Amortize_Prod!V10*1000000/Amortize_Prod!V12,0),"SLO 不可達")</f>
        <v>0.00608081231226111</v>
      </c>
      <c r="W13" s="173" t="n">
        <f aca="false">IF(AND(ISNUMBER(Amortize_Prod!W12),ISNUMBER(Amortize_Prod!W10)),IF(Amortize_Prod!W12&gt;0,Amortize_Prod!W10*1000000/Amortize_Prod!W12,0),"SLO 不可達")</f>
        <v>0.00811916357405977</v>
      </c>
      <c r="X13" s="173" t="n">
        <f aca="false">IF(AND(ISNUMBER(Amortize_Prod!X12),ISNUMBER(Amortize_Prod!X10)),IF(Amortize_Prod!X12&gt;0,Amortize_Prod!X10*1000000/Amortize_Prod!X12,0),"SLO 不可達")</f>
        <v>0.0131686306269498</v>
      </c>
      <c r="Y13" s="173" t="n">
        <f aca="false">IF(AND(ISNUMBER(Amortize_Prod!Y12),ISNUMBER(Amortize_Prod!Y10)),IF(Amortize_Prod!Y12&gt;0,Amortize_Prod!Y10*1000000/Amortize_Prod!Y12,0),"SLO 不可達")</f>
        <v>0.00523654199470806</v>
      </c>
      <c r="Z13" s="173" t="n">
        <f aca="false">IF(AND(ISNUMBER(Amortize_Prod!Z12),ISNUMBER(Amortize_Prod!Z10)),IF(Amortize_Prod!Z12&gt;0,Amortize_Prod!Z10*1000000/Amortize_Prod!Z12,0),"SLO 不可達")</f>
        <v>0.00676329702928261</v>
      </c>
      <c r="AA13" s="173" t="n">
        <f aca="false">IF(AND(ISNUMBER(Amortize_Prod!AA12),ISNUMBER(Amortize_Prod!AA10)),IF(Amortize_Prod!AA12&gt;0,Amortize_Prod!AA10*1000000/Amortize_Prod!AA12,0),"SLO 不可達")</f>
        <v>0.0115148429406192</v>
      </c>
      <c r="AB13" s="173" t="n">
        <f aca="false">IF(AND(ISNUMBER(Amortize_Prod!AB12),ISNUMBER(Amortize_Prod!AB10)),IF(Amortize_Prod!AB12&gt;0,Amortize_Prod!AB10*1000000/Amortize_Prod!AB12,0),"SLO 不可達")</f>
        <v>0.00210940192005383</v>
      </c>
      <c r="AC13" s="173" t="n">
        <f aca="false">IF(AND(ISNUMBER(Amortize_Prod!AC12),ISNUMBER(Amortize_Prod!AC10)),IF(Amortize_Prod!AC12&gt;0,Amortize_Prod!AC10*1000000/Amortize_Prod!AC12,0),"SLO 不可達")</f>
        <v>0.00271112526016618</v>
      </c>
      <c r="AD13" s="173" t="n">
        <f aca="false">IF(AND(ISNUMBER(Amortize_Prod!AD12),ISNUMBER(Amortize_Prod!AD10)),IF(Amortize_Prod!AD12&gt;0,Amortize_Prod!AD10*1000000/Amortize_Prod!AD12,0),"SLO 不可達")</f>
        <v>0.00437990681219042</v>
      </c>
      <c r="AE13" s="173" t="n">
        <f aca="false">IF(AND(ISNUMBER(Amortize_Prod!AE12),ISNUMBER(Amortize_Prod!AE10)),IF(Amortize_Prod!AE12&gt;0,Amortize_Prod!AE10*1000000/Amortize_Prod!AE12,0),"SLO 不可達")</f>
        <v>0.00102767416465181</v>
      </c>
      <c r="AF13" s="173" t="n">
        <f aca="false">IF(AND(ISNUMBER(Amortize_Prod!AF12),ISNUMBER(Amortize_Prod!AF10)),IF(Amortize_Prod!AF12&gt;0,Amortize_Prod!AF10*1000000/Amortize_Prod!AF12,0),"SLO 不可達")</f>
        <v>0.00156192381970931</v>
      </c>
      <c r="AG13" s="173" t="n">
        <f aca="false">IF(AND(ISNUMBER(Amortize_Prod!AG12),ISNUMBER(Amortize_Prod!AG10)),IF(Amortize_Prod!AG12&gt;0,Amortize_Prod!AG10*1000000/Amortize_Prod!AG12,0),"SLO 不可達")</f>
        <v>0.00285135671460905</v>
      </c>
    </row>
    <row r="14" customFormat="false" ht="15" hidden="false" customHeight="false" outlineLevel="0" collapsed="false">
      <c r="A14" s="58" t="s">
        <v>1769</v>
      </c>
      <c r="B14" s="56" t="s">
        <v>795</v>
      </c>
      <c r="C14" s="155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5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5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5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5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5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5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5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5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5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5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5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5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5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5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5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5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5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5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5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5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5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5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5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5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5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5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5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5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5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1764</v>
      </c>
      <c r="B19" s="56" t="s">
        <v>865</v>
      </c>
      <c r="C19" s="96" t="n">
        <f aca="false">INDEX(Interface_Prod!$C$69:$Q$69,1,Amortize!C$7)</f>
        <v>173.572457089909</v>
      </c>
      <c r="D19" s="96" t="n">
        <f aca="false">INDEX(Interface_Prod!$C$69:$Q$69,1,Amortize!D$7)</f>
        <v>248.000322128575</v>
      </c>
      <c r="E19" s="96" t="n">
        <f aca="false">INDEX(Interface_Prod!$C$69:$Q$69,1,Amortize!E$7)</f>
        <v>425.907769349711</v>
      </c>
      <c r="F19" s="96" t="n">
        <f aca="false">INDEX(Interface_Prod!$C$69:$Q$69,1,Amortize!F$7)</f>
        <v>79.5923403673566</v>
      </c>
      <c r="G19" s="96" t="n">
        <f aca="false">INDEX(Interface_Prod!$C$69:$Q$69,1,Amortize!G$7)</f>
        <v>106.272517140809</v>
      </c>
      <c r="H19" s="96" t="n">
        <f aca="false">INDEX(Interface_Prod!$C$69:$Q$69,1,Amortize!H$7)</f>
        <v>172.365479677574</v>
      </c>
      <c r="I19" s="96" t="n">
        <f aca="false">INDEX(Interface_Prod!$C$69:$Q$69,1,Amortize!I$7)</f>
        <v>91.2329276300195</v>
      </c>
      <c r="J19" s="96" t="n">
        <f aca="false">INDEX(Interface_Prod!$C$69:$Q$69,1,Amortize!J$7)</f>
        <v>117.832605760907</v>
      </c>
      <c r="K19" s="96" t="n">
        <f aca="false">INDEX(Interface_Prod!$C$69:$Q$69,1,Amortize!K$7)</f>
        <v>200.61575630143</v>
      </c>
      <c r="L19" s="96" t="n">
        <f aca="false">INDEX(Interface_Prod!$C$69:$Q$69,1,Amortize!L$7)</f>
        <v>66.0090591651247</v>
      </c>
      <c r="M19" s="96" t="n">
        <f aca="false">INDEX(Interface_Prod!$C$69:$Q$69,1,Amortize!M$7)</f>
        <v>84.8386578209839</v>
      </c>
      <c r="N19" s="96" t="n">
        <f aca="false">INDEX(Interface_Prod!$C$69:$Q$69,1,Amortize!N$7)</f>
        <v>137.059478876473</v>
      </c>
      <c r="O19" s="96" t="n">
        <f aca="false">INDEX(Interface_Prod!$C$69:$Q$69,1,Amortize!O$7)</f>
        <v>46.4062309773387</v>
      </c>
      <c r="P19" s="96" t="n">
        <f aca="false">INDEX(Interface_Prod!$C$69:$Q$69,1,Amortize!P$7)</f>
        <v>70.5311080492091</v>
      </c>
      <c r="Q19" s="96" t="n">
        <f aca="false">INDEX(Interface_Prod!$C$69:$Q$69,1,Amortize!Q$7)</f>
        <v>128.757463063952</v>
      </c>
      <c r="S19" s="96" t="n">
        <f aca="false">INDEX(Interface_Prod!$S$69:$AG$69,1,Amortize!C$7)</f>
        <v>157.188196940514</v>
      </c>
      <c r="T19" s="96" t="n">
        <f aca="false">INDEX(Interface_Prod!$S$69:$AG$69,1,Amortize!D$7)</f>
        <v>224.590491657698</v>
      </c>
      <c r="U19" s="96" t="n">
        <f aca="false">INDEX(Interface_Prod!$S$69:$AG$69,1,Amortize!E$7)</f>
        <v>385.704480131656</v>
      </c>
      <c r="V19" s="96" t="n">
        <f aca="false">INDEX(Interface_Prod!$S$69:$AG$69,1,Amortize!F$7)</f>
        <v>74.0361250834957</v>
      </c>
      <c r="W19" s="96" t="n">
        <f aca="false">INDEX(Interface_Prod!$S$69:$AG$69,1,Amortize!G$7)</f>
        <v>98.8538009519539</v>
      </c>
      <c r="X19" s="96" t="n">
        <f aca="false">INDEX(Interface_Prod!$S$69:$AG$69,1,Amortize!H$7)</f>
        <v>160.332918401272</v>
      </c>
      <c r="Y19" s="96" t="n">
        <f aca="false">INDEX(Interface_Prod!$S$69:$AG$69,1,Amortize!I$7)</f>
        <v>86.2049176761941</v>
      </c>
      <c r="Z19" s="96" t="n">
        <f aca="false">INDEX(Interface_Prod!$S$69:$AG$69,1,Amortize!J$7)</f>
        <v>111.33863993035</v>
      </c>
      <c r="AA19" s="96" t="n">
        <f aca="false">INDEX(Interface_Prod!$S$69:$AG$69,1,Amortize!K$7)</f>
        <v>189.559462858032</v>
      </c>
      <c r="AB19" s="96" t="n">
        <f aca="false">INDEX(Interface_Prod!$S$69:$AG$69,1,Amortize!L$7)</f>
        <v>61.07819684623</v>
      </c>
      <c r="AC19" s="96" t="n">
        <f aca="false">INDEX(Interface_Prod!$S$69:$AG$69,1,Amortize!M$7)</f>
        <v>78.50122859042</v>
      </c>
      <c r="AD19" s="96" t="n">
        <f aca="false">INDEX(Interface_Prod!$S$69:$AG$69,1,Amortize!N$7)</f>
        <v>126.821165705719</v>
      </c>
      <c r="AE19" s="96" t="n">
        <f aca="false">INDEX(Interface_Prod!$S$69:$AG$69,1,Amortize!O$7)</f>
        <v>43.536770447398</v>
      </c>
      <c r="AF19" s="96" t="n">
        <f aca="false">INDEX(Interface_Prod!$S$69:$AG$69,1,Amortize!P$7)</f>
        <v>66.1699214926233</v>
      </c>
      <c r="AG19" s="96" t="n">
        <f aca="false">INDEX(Interface_Prod!$S$69:$AG$69,1,Amortize!Q$7)</f>
        <v>120.79593612207</v>
      </c>
    </row>
    <row r="21" customFormat="false" ht="15" hidden="false" customHeight="false" outlineLevel="0" collapsed="false">
      <c r="A21" s="58" t="s">
        <v>1766</v>
      </c>
      <c r="B21" s="56" t="s">
        <v>1767</v>
      </c>
      <c r="C21" s="60" t="n">
        <f aca="false">IF(ISNUMBER(Fleet_1GW_Prod!C24),Fleet_1GW_Prod!C24*INDEX(B4_Life,1,2)/12,"SLO 不可達")</f>
        <v>514788332.042671</v>
      </c>
      <c r="D21" s="60" t="n">
        <f aca="false">IF(ISNUMBER(Fleet_1GW_Prod!D24),Fleet_1GW_Prod!D24*INDEX(B4_Life,1,2)/12,"SLO 不可達")</f>
        <v>514788332.042671</v>
      </c>
      <c r="E21" s="60" t="n">
        <f aca="false">IF(ISNUMBER(Fleet_1GW_Prod!E24),Fleet_1GW_Prod!E24*INDEX(B4_Life,1,2)/12,"SLO 不可達")</f>
        <v>514788332.042671</v>
      </c>
      <c r="F21" s="60" t="n">
        <f aca="false">IF(ISNUMBER(Fleet_1GW_Prod!F24),Fleet_1GW_Prod!F24*INDEX(B4_Life,1,2)/12,"SLO 不可達")</f>
        <v>3508138932.3316</v>
      </c>
      <c r="G21" s="60" t="n">
        <f aca="false">IF(ISNUMBER(Fleet_1GW_Prod!G24),Fleet_1GW_Prod!G24*INDEX(B4_Life,1,2)/12,"SLO 不可達")</f>
        <v>3508138932.3316</v>
      </c>
      <c r="H21" s="60" t="n">
        <f aca="false">IF(ISNUMBER(Fleet_1GW_Prod!H24),Fleet_1GW_Prod!H24*INDEX(B4_Life,1,2)/12,"SLO 不可達")</f>
        <v>3508138932.3316</v>
      </c>
      <c r="I21" s="60" t="n">
        <f aca="false">IF(ISNUMBER(Fleet_1GW_Prod!I24),Fleet_1GW_Prod!I24*INDEX(B4_Life,1,2)/12,"SLO 不可達")</f>
        <v>4414095608.31975</v>
      </c>
      <c r="J21" s="60" t="n">
        <f aca="false">IF(ISNUMBER(Fleet_1GW_Prod!J24),Fleet_1GW_Prod!J24*INDEX(B4_Life,1,2)/12,"SLO 不可達")</f>
        <v>4414095608.31975</v>
      </c>
      <c r="K21" s="60" t="n">
        <f aca="false">IF(ISNUMBER(Fleet_1GW_Prod!K24),Fleet_1GW_Prod!K24*INDEX(B4_Life,1,2)/12,"SLO 不可達")</f>
        <v>4414095608.31975</v>
      </c>
      <c r="L21" s="60" t="n">
        <f aca="false">IF(ISNUMBER(Fleet_1GW_Prod!L24),Fleet_1GW_Prod!L24*INDEX(B4_Life,1,2)/12,"SLO 不可達")</f>
        <v>8747773809.55884</v>
      </c>
      <c r="M21" s="60" t="n">
        <f aca="false">IF(ISNUMBER(Fleet_1GW_Prod!M24),Fleet_1GW_Prod!M24*INDEX(B4_Life,1,2)/12,"SLO 不可達")</f>
        <v>8747773809.55884</v>
      </c>
      <c r="N21" s="60" t="n">
        <f aca="false">IF(ISNUMBER(Fleet_1GW_Prod!N24),Fleet_1GW_Prod!N24*INDEX(B4_Life,1,2)/12,"SLO 不可達")</f>
        <v>8747773809.55884</v>
      </c>
      <c r="O21" s="60" t="n">
        <f aca="false">IF(ISNUMBER(Fleet_1GW_Prod!O24),Fleet_1GW_Prod!O24*INDEX(B4_Life,1,2)/12,"SLO 不可達")</f>
        <v>12489664153.2899</v>
      </c>
      <c r="P21" s="60" t="n">
        <f aca="false">IF(ISNUMBER(Fleet_1GW_Prod!P24),Fleet_1GW_Prod!P24*INDEX(B4_Life,1,2)/12,"SLO 不可達")</f>
        <v>12489664153.2899</v>
      </c>
      <c r="Q21" s="60" t="n">
        <f aca="false">IF(ISNUMBER(Fleet_1GW_Prod!Q24),Fleet_1GW_Prod!Q24*INDEX(B4_Life,1,2)/12,"SLO 不可達")</f>
        <v>12489664153.2899</v>
      </c>
      <c r="S21" s="60" t="n">
        <f aca="false">IF(ISNUMBER(Fleet_1GW_Prod!S24),Fleet_1GW_Prod!S24*INDEX(B4_Life,1,2)/12,"SLO 不可達")</f>
        <v>919172722.042524</v>
      </c>
      <c r="T21" s="60" t="n">
        <f aca="false">IF(ISNUMBER(Fleet_1GW_Prod!T24),Fleet_1GW_Prod!T24*INDEX(B4_Life,1,2)/12,"SLO 不可達")</f>
        <v>919172722.042524</v>
      </c>
      <c r="U21" s="60" t="n">
        <f aca="false">IF(ISNUMBER(Fleet_1GW_Prod!U24),Fleet_1GW_Prod!U24*INDEX(B4_Life,1,2)/12,"SLO 不可達")</f>
        <v>919172722.042524</v>
      </c>
      <c r="V21" s="60" t="n">
        <f aca="false">IF(ISNUMBER(Fleet_1GW_Prod!V24),Fleet_1GW_Prod!V24*INDEX(B4_Life,1,2)/12,"SLO 不可達")</f>
        <v>4630331169.1609</v>
      </c>
      <c r="W21" s="60" t="n">
        <f aca="false">IF(ISNUMBER(Fleet_1GW_Prod!W24),Fleet_1GW_Prod!W24*INDEX(B4_Life,1,2)/12,"SLO 不可達")</f>
        <v>4630331169.1609</v>
      </c>
      <c r="X21" s="60" t="n">
        <f aca="false">IF(ISNUMBER(Fleet_1GW_Prod!X24),Fleet_1GW_Prod!X24*INDEX(B4_Life,1,2)/12,"SLO 不可達")</f>
        <v>4630331169.1609</v>
      </c>
      <c r="Y21" s="60" t="n">
        <f aca="false">IF(ISNUMBER(Fleet_1GW_Prod!Y24),Fleet_1GW_Prod!Y24*INDEX(B4_Life,1,2)/12,"SLO 不可達")</f>
        <v>6028205957.56624</v>
      </c>
      <c r="Z21" s="60" t="n">
        <f aca="false">IF(ISNUMBER(Fleet_1GW_Prod!Z24),Fleet_1GW_Prod!Z24*INDEX(B4_Life,1,2)/12,"SLO 不可達")</f>
        <v>6028205957.56624</v>
      </c>
      <c r="AA21" s="60" t="n">
        <f aca="false">IF(ISNUMBER(Fleet_1GW_Prod!AA24),Fleet_1GW_Prod!AA24*INDEX(B4_Life,1,2)/12,"SLO 不可達")</f>
        <v>6028205957.56624</v>
      </c>
      <c r="AB21" s="60" t="n">
        <f aca="false">IF(ISNUMBER(Fleet_1GW_Prod!AB24),Fleet_1GW_Prod!AB24*INDEX(B4_Life,1,2)/12,"SLO 不可達")</f>
        <v>11182709868.3772</v>
      </c>
      <c r="AC21" s="60" t="n">
        <f aca="false">IF(ISNUMBER(Fleet_1GW_Prod!AC24),Fleet_1GW_Prod!AC24*INDEX(B4_Life,1,2)/12,"SLO 不可達")</f>
        <v>11182709868.3772</v>
      </c>
      <c r="AD21" s="60" t="n">
        <f aca="false">IF(ISNUMBER(Fleet_1GW_Prod!AD24),Fleet_1GW_Prod!AD24*INDEX(B4_Life,1,2)/12,"SLO 不可達")</f>
        <v>11182709868.3772</v>
      </c>
      <c r="AE21" s="60" t="n">
        <f aca="false">IF(ISNUMBER(Fleet_1GW_Prod!AE24),Fleet_1GW_Prod!AE24*INDEX(B4_Life,1,2)/12,"SLO 不可達")</f>
        <v>15819767571.4152</v>
      </c>
      <c r="AF21" s="60" t="n">
        <f aca="false">IF(ISNUMBER(Fleet_1GW_Prod!AF24),Fleet_1GW_Prod!AF24*INDEX(B4_Life,1,2)/12,"SLO 不可達")</f>
        <v>15819767571.4152</v>
      </c>
      <c r="AG21" s="60" t="n">
        <f aca="false">IF(ISNUMBER(Fleet_1GW_Prod!AG24),Fleet_1GW_Prod!AG24*INDEX(B4_Life,1,2)/12,"SLO 不可達")</f>
        <v>15819767571.4152</v>
      </c>
    </row>
    <row r="22" customFormat="false" ht="15" hidden="false" customHeight="false" outlineLevel="0" collapsed="false">
      <c r="A22" s="58" t="s">
        <v>1772</v>
      </c>
      <c r="B22" s="56" t="s">
        <v>795</v>
      </c>
      <c r="C22" s="173" t="n">
        <f aca="false">IF(AND(ISNUMBER(Amortize_Prod!C21),ISNUMBER(Amortize_Prod!C19)),IF(Amortize_Prod!C21&gt;0,Amortize_Prod!C19*1000000/Amortize_Prod!C21,0),"SLO 不可達")</f>
        <v>0.337172477086216</v>
      </c>
      <c r="D22" s="173" t="n">
        <f aca="false">IF(AND(ISNUMBER(Amortize_Prod!D21),ISNUMBER(Amortize_Prod!D19)),IF(Amortize_Prod!D21&gt;0,Amortize_Prod!D19*1000000/Amortize_Prod!D21,0),"SLO 不可達")</f>
        <v>0.481752026399887</v>
      </c>
      <c r="E22" s="173" t="n">
        <f aca="false">IF(AND(ISNUMBER(Amortize_Prod!E21),ISNUMBER(Amortize_Prod!E19)),IF(Amortize_Prod!E21&gt;0,Amortize_Prod!E19*1000000/Amortize_Prod!E21,0),"SLO 不可達")</f>
        <v>0.827345421097088</v>
      </c>
      <c r="F22" s="173" t="n">
        <f aca="false">IF(AND(ISNUMBER(Amortize_Prod!F21),ISNUMBER(Amortize_Prod!F19)),IF(Amortize_Prod!F21&gt;0,Amortize_Prod!F19*1000000/Amortize_Prod!F21,0),"SLO 不可達")</f>
        <v>0.0226879100008897</v>
      </c>
      <c r="G22" s="173" t="n">
        <f aca="false">IF(AND(ISNUMBER(Amortize_Prod!G21),ISNUMBER(Amortize_Prod!G19)),IF(Amortize_Prod!G21&gt;0,Amortize_Prod!G19*1000000/Amortize_Prod!G21,0),"SLO 不可達")</f>
        <v>0.0302931323960357</v>
      </c>
      <c r="H22" s="173" t="n">
        <f aca="false">IF(AND(ISNUMBER(Amortize_Prod!H21),ISNUMBER(Amortize_Prod!H19)),IF(Amortize_Prod!H21&gt;0,Amortize_Prod!H19*1000000/Amortize_Prod!H21,0),"SLO 不可達")</f>
        <v>0.0491330255164712</v>
      </c>
      <c r="I22" s="173" t="n">
        <f aca="false">IF(AND(ISNUMBER(Amortize_Prod!I21),ISNUMBER(Amortize_Prod!I19)),IF(Amortize_Prod!I21&gt;0,Amortize_Prod!I19*1000000/Amortize_Prod!I21,0),"SLO 不可達")</f>
        <v>0.020668543621498</v>
      </c>
      <c r="J22" s="173" t="n">
        <f aca="false">IF(AND(ISNUMBER(Amortize_Prod!J21),ISNUMBER(Amortize_Prod!J19)),IF(Amortize_Prod!J21&gt;0,Amortize_Prod!J19*1000000/Amortize_Prod!J21,0),"SLO 不可達")</f>
        <v>0.0266946201932768</v>
      </c>
      <c r="K22" s="173" t="n">
        <f aca="false">IF(AND(ISNUMBER(Amortize_Prod!K21),ISNUMBER(Amortize_Prod!K19)),IF(Amortize_Prod!K21&gt;0,Amortize_Prod!K19*1000000/Amortize_Prod!K21,0),"SLO 不可達")</f>
        <v>0.0454488923899397</v>
      </c>
      <c r="L22" s="173" t="n">
        <f aca="false">IF(AND(ISNUMBER(Amortize_Prod!L21),ISNUMBER(Amortize_Prod!L19)),IF(Amortize_Prod!L21&gt;0,Amortize_Prod!L19*1000000/Amortize_Prod!L21,0),"SLO 不可達")</f>
        <v>0.00754581229489444</v>
      </c>
      <c r="M22" s="173" t="n">
        <f aca="false">IF(AND(ISNUMBER(Amortize_Prod!M21),ISNUMBER(Amortize_Prod!M19)),IF(Amortize_Prod!M21&gt;0,Amortize_Prod!M19*1000000/Amortize_Prod!M21,0),"SLO 不可達")</f>
        <v>0.00969831407029287</v>
      </c>
      <c r="N22" s="173" t="n">
        <f aca="false">IF(AND(ISNUMBER(Amortize_Prod!N21),ISNUMBER(Amortize_Prod!N19)),IF(Amortize_Prod!N21&gt;0,Amortize_Prod!N19*1000000/Amortize_Prod!N21,0),"SLO 不可達")</f>
        <v>0.0156679267045869</v>
      </c>
      <c r="O22" s="173" t="n">
        <f aca="false">IF(AND(ISNUMBER(Amortize_Prod!O21),ISNUMBER(Amortize_Prod!O19)),IF(Amortize_Prod!O21&gt;0,Amortize_Prod!O19*1000000/Amortize_Prod!O21,0),"SLO 不可達")</f>
        <v>0.00371557076377549</v>
      </c>
      <c r="P22" s="173" t="n">
        <f aca="false">IF(AND(ISNUMBER(Amortize_Prod!P21),ISNUMBER(Amortize_Prod!P19)),IF(Amortize_Prod!P21&gt;0,Amortize_Prod!P19*1000000/Amortize_Prod!P21,0),"SLO 不可達")</f>
        <v>0.00564715809677161</v>
      </c>
      <c r="Q22" s="173" t="n">
        <f aca="false">IF(AND(ISNUMBER(Amortize_Prod!Q21),ISNUMBER(Amortize_Prod!Q19)),IF(Amortize_Prod!Q21&gt;0,Amortize_Prod!Q19*1000000/Amortize_Prod!Q21,0),"SLO 不可達")</f>
        <v>0.0103091213249346</v>
      </c>
      <c r="S22" s="173" t="n">
        <f aca="false">IF(AND(ISNUMBER(Amortize_Prod!S21),ISNUMBER(Amortize_Prod!S19)),IF(Amortize_Prod!S21&gt;0,Amortize_Prod!S19*1000000/Amortize_Prod!S21,0),"SLO 不可達")</f>
        <v>0.171010511050873</v>
      </c>
      <c r="T22" s="173" t="n">
        <f aca="false">IF(AND(ISNUMBER(Amortize_Prod!T21),ISNUMBER(Amortize_Prod!T19)),IF(Amortize_Prod!T21&gt;0,Amortize_Prod!T19*1000000/Amortize_Prod!T21,0),"SLO 不可達")</f>
        <v>0.244339813695328</v>
      </c>
      <c r="U22" s="173" t="n">
        <f aca="false">IF(AND(ISNUMBER(Amortize_Prod!U21),ISNUMBER(Amortize_Prod!U19)),IF(Amortize_Prod!U21&gt;0,Amortize_Prod!U19*1000000/Amortize_Prod!U21,0),"SLO 不可達")</f>
        <v>0.419621330009195</v>
      </c>
      <c r="V22" s="173" t="n">
        <f aca="false">IF(AND(ISNUMBER(Amortize_Prod!V21),ISNUMBER(Amortize_Prod!V19)),IF(Amortize_Prod!V21&gt;0,Amortize_Prod!V19*1000000/Amortize_Prod!V21,0),"SLO 不可達")</f>
        <v>0.0159893801066744</v>
      </c>
      <c r="W22" s="173" t="n">
        <f aca="false">IF(AND(ISNUMBER(Amortize_Prod!W21),ISNUMBER(Amortize_Prod!W19)),IF(Amortize_Prod!W21&gt;0,Amortize_Prod!W19*1000000/Amortize_Prod!W21,0),"SLO 不可達")</f>
        <v>0.0213491859092809</v>
      </c>
      <c r="X22" s="173" t="n">
        <f aca="false">IF(AND(ISNUMBER(Amortize_Prod!X21),ISNUMBER(Amortize_Prod!X19)),IF(Amortize_Prod!X21&gt;0,Amortize_Prod!X19*1000000/Amortize_Prod!X21,0),"SLO 不可達")</f>
        <v>0.0346266633084749</v>
      </c>
      <c r="Y22" s="173" t="n">
        <f aca="false">IF(AND(ISNUMBER(Amortize_Prod!Y21),ISNUMBER(Amortize_Prod!Y19)),IF(Amortize_Prod!Y21&gt;0,Amortize_Prod!Y19*1000000/Amortize_Prod!Y21,0),"SLO 不可達")</f>
        <v>0.0143002608542256</v>
      </c>
      <c r="Z22" s="173" t="n">
        <f aca="false">IF(AND(ISNUMBER(Amortize_Prod!Z21),ISNUMBER(Amortize_Prod!Z19)),IF(Amortize_Prod!Z21&gt;0,Amortize_Prod!Z19*1000000/Amortize_Prod!Z21,0),"SLO 不可達")</f>
        <v>0.018469614461431</v>
      </c>
      <c r="AA22" s="173" t="n">
        <f aca="false">IF(AND(ISNUMBER(Amortize_Prod!AA21),ISNUMBER(Amortize_Prod!AA19)),IF(Amortize_Prod!AA21&gt;0,Amortize_Prod!AA19*1000000/Amortize_Prod!AA21,0),"SLO 不可達")</f>
        <v>0.0314454191167951</v>
      </c>
      <c r="AB22" s="173" t="n">
        <f aca="false">IF(AND(ISNUMBER(Amortize_Prod!AB21),ISNUMBER(Amortize_Prod!AB19)),IF(Amortize_Prod!AB21&gt;0,Amortize_Prod!AB19*1000000/Amortize_Prod!AB21,0),"SLO 不可達")</f>
        <v>0.00546184221580753</v>
      </c>
      <c r="AC22" s="173" t="n">
        <f aca="false">IF(AND(ISNUMBER(Amortize_Prod!AC21),ISNUMBER(Amortize_Prod!AC19)),IF(Amortize_Prod!AC21&gt;0,Amortize_Prod!AC19*1000000/Amortize_Prod!AC21,0),"SLO 不可達")</f>
        <v>0.00701987528196614</v>
      </c>
      <c r="AD22" s="173" t="n">
        <f aca="false">IF(AND(ISNUMBER(Amortize_Prod!AD21),ISNUMBER(Amortize_Prod!AD19)),IF(Amortize_Prod!AD21&gt;0,Amortize_Prod!AD19*1000000/Amortize_Prod!AD21,0),"SLO 不可達")</f>
        <v>0.0113408258998428</v>
      </c>
      <c r="AE22" s="173" t="n">
        <f aca="false">IF(AND(ISNUMBER(Amortize_Prod!AE21),ISNUMBER(Amortize_Prod!AE19)),IF(Amortize_Prod!AE21&gt;0,Amortize_Prod!AE19*1000000/Amortize_Prod!AE21,0),"SLO 不可達")</f>
        <v>0.00275204867902514</v>
      </c>
      <c r="AF22" s="173" t="n">
        <f aca="false">IF(AND(ISNUMBER(Amortize_Prod!AF21),ISNUMBER(Amortize_Prod!AF19)),IF(Amortize_Prod!AF21&gt;0,Amortize_Prod!AF19*1000000/Amortize_Prod!AF21,0),"SLO 不可達")</f>
        <v>0.00418273664223652</v>
      </c>
      <c r="AG22" s="173" t="n">
        <f aca="false">IF(AND(ISNUMBER(Amortize_Prod!AG21),ISNUMBER(Amortize_Prod!AG19)),IF(Amortize_Prod!AG21&gt;0,Amortize_Prod!AG19*1000000/Amortize_Prod!AG21,0),"SLO 不可達")</f>
        <v>0.00763575922192034</v>
      </c>
    </row>
    <row r="23" customFormat="false" ht="15" hidden="false" customHeight="false" outlineLevel="0" collapsed="false">
      <c r="A23" s="58" t="s">
        <v>1769</v>
      </c>
      <c r="B23" s="56" t="s">
        <v>795</v>
      </c>
      <c r="C23" s="155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5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5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5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5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5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5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5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5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5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5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5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5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5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5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5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5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5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5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5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5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5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5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5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5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5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5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5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5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5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1764</v>
      </c>
      <c r="B29" s="56" t="s">
        <v>865</v>
      </c>
      <c r="C29" s="96" t="n">
        <f aca="false">INDEX(Interface_Prod!$C$78:$Q$78,1,Amortize!C$7)</f>
        <v>1060.61145487942</v>
      </c>
      <c r="D29" s="96" t="n">
        <f aca="false">INDEX(Interface_Prod!$C$78:$Q$78,1,Amortize!D$7)</f>
        <v>1515.40161885883</v>
      </c>
      <c r="E29" s="96" t="n">
        <f aca="false">INDEX(Interface_Prod!$C$78:$Q$78,1,Amortize!E$7)</f>
        <v>2602.50195490669</v>
      </c>
      <c r="F29" s="96" t="n">
        <f aca="false">INDEX(Interface_Prod!$C$78:$Q$78,1,Amortize!F$7)</f>
        <v>496.148243569985</v>
      </c>
      <c r="G29" s="96" t="n">
        <f aca="false">INDEX(Interface_Prod!$C$78:$Q$78,1,Amortize!G$7)</f>
        <v>662.462273075692</v>
      </c>
      <c r="H29" s="96" t="n">
        <f aca="false">INDEX(Interface_Prod!$C$78:$Q$78,1,Amortize!H$7)</f>
        <v>1074.46055235235</v>
      </c>
      <c r="I29" s="96" t="n">
        <f aca="false">INDEX(Interface_Prod!$C$78:$Q$78,1,Amortize!I$7)</f>
        <v>580.887209767865</v>
      </c>
      <c r="J29" s="96" t="n">
        <f aca="false">INDEX(Interface_Prod!$C$78:$Q$78,1,Amortize!J$7)</f>
        <v>750.249447849658</v>
      </c>
      <c r="K29" s="96" t="n">
        <f aca="false">INDEX(Interface_Prod!$C$78:$Q$78,1,Amortize!K$7)</f>
        <v>1277.33626378841</v>
      </c>
      <c r="L29" s="96" t="n">
        <f aca="false">INDEX(Interface_Prod!$C$78:$Q$78,1,Amortize!L$7)</f>
        <v>407.691393322563</v>
      </c>
      <c r="M29" s="96" t="n">
        <f aca="false">INDEX(Interface_Prod!$C$78:$Q$78,1,Amortize!M$7)</f>
        <v>523.988541150536</v>
      </c>
      <c r="N29" s="96" t="n">
        <f aca="false">INDEX(Interface_Prod!$C$78:$Q$78,1,Amortize!N$7)</f>
        <v>846.519714383935</v>
      </c>
      <c r="O29" s="96" t="n">
        <f aca="false">INDEX(Interface_Prod!$C$78:$Q$78,1,Amortize!O$7)</f>
        <v>290.955020372766</v>
      </c>
      <c r="P29" s="96" t="n">
        <f aca="false">INDEX(Interface_Prod!$C$78:$Q$78,1,Amortize!P$7)</f>
        <v>442.211736380671</v>
      </c>
      <c r="Q29" s="96" t="n">
        <f aca="false">INDEX(Interface_Prod!$C$78:$Q$78,1,Amortize!Q$7)</f>
        <v>807.275865760611</v>
      </c>
      <c r="S29" s="96" t="n">
        <f aca="false">INDEX(Interface_Prod!$S$78:$AG$78,1,Amortize!C$7)</f>
        <v>968.946393983648</v>
      </c>
      <c r="T29" s="96" t="n">
        <f aca="false">INDEX(Interface_Prod!$S$78:$AG$78,1,Amortize!D$7)</f>
        <v>1384.43058225991</v>
      </c>
      <c r="U29" s="96" t="n">
        <f aca="false">INDEX(Interface_Prod!$S$78:$AG$78,1,Amortize!E$7)</f>
        <v>2377.57651300204</v>
      </c>
      <c r="V29" s="96" t="n">
        <f aca="false">INDEX(Interface_Prod!$S$78:$AG$78,1,Amortize!F$7)</f>
        <v>465.455930936714</v>
      </c>
      <c r="W29" s="96" t="n">
        <f aca="false">INDEX(Interface_Prod!$S$78:$AG$78,1,Amortize!G$7)</f>
        <v>621.48157938889</v>
      </c>
      <c r="X29" s="96" t="n">
        <f aca="false">INDEX(Interface_Prod!$S$78:$AG$78,1,Amortize!H$7)</f>
        <v>1007.99316158296</v>
      </c>
      <c r="Y29" s="96" t="n">
        <f aca="false">INDEX(Interface_Prod!$S$78:$AG$78,1,Amortize!I$7)</f>
        <v>552.821212490455</v>
      </c>
      <c r="Z29" s="96" t="n">
        <f aca="false">INDEX(Interface_Prod!$S$78:$AG$78,1,Amortize!J$7)</f>
        <v>714.000588162868</v>
      </c>
      <c r="AA29" s="96" t="n">
        <f aca="false">INDEX(Interface_Prod!$S$78:$AG$78,1,Amortize!K$7)</f>
        <v>1215.62081283856</v>
      </c>
      <c r="AB29" s="96" t="n">
        <f aca="false">INDEX(Interface_Prod!$S$78:$AG$78,1,Amortize!L$7)</f>
        <v>380.652805094568</v>
      </c>
      <c r="AC29" s="96" t="n">
        <f aca="false">INDEX(Interface_Prod!$S$78:$AG$78,1,Amortize!M$7)</f>
        <v>489.236984869465</v>
      </c>
      <c r="AD29" s="96" t="n">
        <f aca="false">INDEX(Interface_Prod!$S$78:$AG$78,1,Amortize!N$7)</f>
        <v>790.377499073548</v>
      </c>
      <c r="AE29" s="96" t="n">
        <f aca="false">INDEX(Interface_Prod!$S$78:$AG$78,1,Amortize!O$7)</f>
        <v>275.298530538818</v>
      </c>
      <c r="AF29" s="96" t="n">
        <f aca="false">INDEX(Interface_Prod!$S$78:$AG$78,1,Amortize!P$7)</f>
        <v>418.416018588187</v>
      </c>
      <c r="AG29" s="96" t="n">
        <f aca="false">INDEX(Interface_Prod!$S$78:$AG$78,1,Amortize!Q$7)</f>
        <v>763.835795988727</v>
      </c>
    </row>
    <row r="31" customFormat="false" ht="15" hidden="false" customHeight="false" outlineLevel="0" collapsed="false">
      <c r="A31" s="58" t="s">
        <v>1766</v>
      </c>
      <c r="B31" s="56" t="s">
        <v>1767</v>
      </c>
      <c r="C31" s="60" t="n">
        <f aca="false">IF(ISNUMBER(Fleet_1GW_Prod!C27),Fleet_1GW_Prod!C27*INDEX(B4_Life,1,3)/12,"SLO 不可達")</f>
        <v>128697083.010668</v>
      </c>
      <c r="D31" s="60" t="n">
        <f aca="false">IF(ISNUMBER(Fleet_1GW_Prod!D27),Fleet_1GW_Prod!D27*INDEX(B4_Life,1,3)/12,"SLO 不可達")</f>
        <v>128697083.010668</v>
      </c>
      <c r="E31" s="60" t="n">
        <f aca="false">IF(ISNUMBER(Fleet_1GW_Prod!E27),Fleet_1GW_Prod!E27*INDEX(B4_Life,1,3)/12,"SLO 不可達")</f>
        <v>128697083.010668</v>
      </c>
      <c r="F31" s="60" t="n">
        <f aca="false">IF(ISNUMBER(Fleet_1GW_Prod!F27),Fleet_1GW_Prod!F27*INDEX(B4_Life,1,3)/12,"SLO 不可達")</f>
        <v>877034733.0829</v>
      </c>
      <c r="G31" s="60" t="n">
        <f aca="false">IF(ISNUMBER(Fleet_1GW_Prod!G27),Fleet_1GW_Prod!G27*INDEX(B4_Life,1,3)/12,"SLO 不可達")</f>
        <v>877034733.0829</v>
      </c>
      <c r="H31" s="60" t="n">
        <f aca="false">IF(ISNUMBER(Fleet_1GW_Prod!H27),Fleet_1GW_Prod!H27*INDEX(B4_Life,1,3)/12,"SLO 不可達")</f>
        <v>877034733.0829</v>
      </c>
      <c r="I31" s="60" t="n">
        <f aca="false">IF(ISNUMBER(Fleet_1GW_Prod!I27),Fleet_1GW_Prod!I27*INDEX(B4_Life,1,3)/12,"SLO 不可達")</f>
        <v>1103523902.07994</v>
      </c>
      <c r="J31" s="60" t="n">
        <f aca="false">IF(ISNUMBER(Fleet_1GW_Prod!J27),Fleet_1GW_Prod!J27*INDEX(B4_Life,1,3)/12,"SLO 不可達")</f>
        <v>1103523902.07994</v>
      </c>
      <c r="K31" s="60" t="n">
        <f aca="false">IF(ISNUMBER(Fleet_1GW_Prod!K27),Fleet_1GW_Prod!K27*INDEX(B4_Life,1,3)/12,"SLO 不可達")</f>
        <v>1103523902.07994</v>
      </c>
      <c r="L31" s="60" t="n">
        <f aca="false">IF(ISNUMBER(Fleet_1GW_Prod!L27),Fleet_1GW_Prod!L27*INDEX(B4_Life,1,3)/12,"SLO 不可達")</f>
        <v>2186943452.38971</v>
      </c>
      <c r="M31" s="60" t="n">
        <f aca="false">IF(ISNUMBER(Fleet_1GW_Prod!M27),Fleet_1GW_Prod!M27*INDEX(B4_Life,1,3)/12,"SLO 不可達")</f>
        <v>2186943452.38971</v>
      </c>
      <c r="N31" s="60" t="n">
        <f aca="false">IF(ISNUMBER(Fleet_1GW_Prod!N27),Fleet_1GW_Prod!N27*INDEX(B4_Life,1,3)/12,"SLO 不可達")</f>
        <v>2186943452.38971</v>
      </c>
      <c r="O31" s="60" t="n">
        <f aca="false">IF(ISNUMBER(Fleet_1GW_Prod!O27),Fleet_1GW_Prod!O27*INDEX(B4_Life,1,3)/12,"SLO 不可達")</f>
        <v>3122416038.32247</v>
      </c>
      <c r="P31" s="60" t="n">
        <f aca="false">IF(ISNUMBER(Fleet_1GW_Prod!P27),Fleet_1GW_Prod!P27*INDEX(B4_Life,1,3)/12,"SLO 不可達")</f>
        <v>3122416038.32247</v>
      </c>
      <c r="Q31" s="60" t="n">
        <f aca="false">IF(ISNUMBER(Fleet_1GW_Prod!Q27),Fleet_1GW_Prod!Q27*INDEX(B4_Life,1,3)/12,"SLO 不可達")</f>
        <v>3122416038.32247</v>
      </c>
      <c r="S31" s="60" t="n">
        <f aca="false">IF(ISNUMBER(Fleet_1GW_Prod!S27),Fleet_1GW_Prod!S27*INDEX(B4_Life,1,3)/12,"SLO 不可達")</f>
        <v>229793180.510631</v>
      </c>
      <c r="T31" s="60" t="n">
        <f aca="false">IF(ISNUMBER(Fleet_1GW_Prod!T27),Fleet_1GW_Prod!T27*INDEX(B4_Life,1,3)/12,"SLO 不可達")</f>
        <v>229793180.510631</v>
      </c>
      <c r="U31" s="60" t="n">
        <f aca="false">IF(ISNUMBER(Fleet_1GW_Prod!U27),Fleet_1GW_Prod!U27*INDEX(B4_Life,1,3)/12,"SLO 不可達")</f>
        <v>229793180.510631</v>
      </c>
      <c r="V31" s="60" t="n">
        <f aca="false">IF(ISNUMBER(Fleet_1GW_Prod!V27),Fleet_1GW_Prod!V27*INDEX(B4_Life,1,3)/12,"SLO 不可達")</f>
        <v>1157582792.29023</v>
      </c>
      <c r="W31" s="60" t="n">
        <f aca="false">IF(ISNUMBER(Fleet_1GW_Prod!W27),Fleet_1GW_Prod!W27*INDEX(B4_Life,1,3)/12,"SLO 不可達")</f>
        <v>1157582792.29023</v>
      </c>
      <c r="X31" s="60" t="n">
        <f aca="false">IF(ISNUMBER(Fleet_1GW_Prod!X27),Fleet_1GW_Prod!X27*INDEX(B4_Life,1,3)/12,"SLO 不可達")</f>
        <v>1157582792.29023</v>
      </c>
      <c r="Y31" s="60" t="n">
        <f aca="false">IF(ISNUMBER(Fleet_1GW_Prod!Y27),Fleet_1GW_Prod!Y27*INDEX(B4_Life,1,3)/12,"SLO 不可達")</f>
        <v>1507051489.39156</v>
      </c>
      <c r="Z31" s="60" t="n">
        <f aca="false">IF(ISNUMBER(Fleet_1GW_Prod!Z27),Fleet_1GW_Prod!Z27*INDEX(B4_Life,1,3)/12,"SLO 不可達")</f>
        <v>1507051489.39156</v>
      </c>
      <c r="AA31" s="60" t="n">
        <f aca="false">IF(ISNUMBER(Fleet_1GW_Prod!AA27),Fleet_1GW_Prod!AA27*INDEX(B4_Life,1,3)/12,"SLO 不可達")</f>
        <v>1507051489.39156</v>
      </c>
      <c r="AB31" s="60" t="n">
        <f aca="false">IF(ISNUMBER(Fleet_1GW_Prod!AB27),Fleet_1GW_Prod!AB27*INDEX(B4_Life,1,3)/12,"SLO 不可達")</f>
        <v>2795677467.0943</v>
      </c>
      <c r="AC31" s="60" t="n">
        <f aca="false">IF(ISNUMBER(Fleet_1GW_Prod!AC27),Fleet_1GW_Prod!AC27*INDEX(B4_Life,1,3)/12,"SLO 不可達")</f>
        <v>2795677467.0943</v>
      </c>
      <c r="AD31" s="60" t="n">
        <f aca="false">IF(ISNUMBER(Fleet_1GW_Prod!AD27),Fleet_1GW_Prod!AD27*INDEX(B4_Life,1,3)/12,"SLO 不可達")</f>
        <v>2795677467.0943</v>
      </c>
      <c r="AE31" s="60" t="n">
        <f aca="false">IF(ISNUMBER(Fleet_1GW_Prod!AE27),Fleet_1GW_Prod!AE27*INDEX(B4_Life,1,3)/12,"SLO 不可達")</f>
        <v>3954941892.8538</v>
      </c>
      <c r="AF31" s="60" t="n">
        <f aca="false">IF(ISNUMBER(Fleet_1GW_Prod!AF27),Fleet_1GW_Prod!AF27*INDEX(B4_Life,1,3)/12,"SLO 不可達")</f>
        <v>3954941892.8538</v>
      </c>
      <c r="AG31" s="60" t="n">
        <f aca="false">IF(ISNUMBER(Fleet_1GW_Prod!AG27),Fleet_1GW_Prod!AG27*INDEX(B4_Life,1,3)/12,"SLO 不可達")</f>
        <v>3954941892.8538</v>
      </c>
    </row>
    <row r="32" customFormat="false" ht="15" hidden="false" customHeight="false" outlineLevel="0" collapsed="false">
      <c r="A32" s="58" t="s">
        <v>1775</v>
      </c>
      <c r="B32" s="56" t="s">
        <v>795</v>
      </c>
      <c r="C32" s="173" t="n">
        <f aca="false">IF(AND(ISNUMBER(Amortize_Prod!C31),ISNUMBER(Amortize_Prod!C29)),IF(Amortize_Prod!C31&gt;0,Amortize_Prod!C29*1000000/Amortize_Prod!C31,0),"SLO 不可達")</f>
        <v>8.24114603119254</v>
      </c>
      <c r="D32" s="173" t="n">
        <f aca="false">IF(AND(ISNUMBER(Amortize_Prod!D31),ISNUMBER(Amortize_Prod!D29)),IF(Amortize_Prod!D31&gt;0,Amortize_Prod!D29*1000000/Amortize_Prod!D31,0),"SLO 不可達")</f>
        <v>11.7749492327905</v>
      </c>
      <c r="E32" s="173" t="n">
        <f aca="false">IF(AND(ISNUMBER(Amortize_Prod!E31),ISNUMBER(Amortize_Prod!E29)),IF(Amortize_Prod!E31&gt;0,Amortize_Prod!E29*1000000/Amortize_Prod!E31,0),"SLO 不可達")</f>
        <v>20.2219187414759</v>
      </c>
      <c r="F32" s="173" t="n">
        <f aca="false">IF(AND(ISNUMBER(Amortize_Prod!F31),ISNUMBER(Amortize_Prod!F29)),IF(Amortize_Prod!F31&gt;0,Amortize_Prod!F29*1000000/Amortize_Prod!F31,0),"SLO 不可達")</f>
        <v>0.565711054368342</v>
      </c>
      <c r="G32" s="173" t="n">
        <f aca="false">IF(AND(ISNUMBER(Amortize_Prod!G31),ISNUMBER(Amortize_Prod!G29)),IF(Amortize_Prod!G31&gt;0,Amortize_Prod!G29*1000000/Amortize_Prod!G31,0),"SLO 不可達")</f>
        <v>0.755343258467136</v>
      </c>
      <c r="H32" s="173" t="n">
        <f aca="false">IF(AND(ISNUMBER(Amortize_Prod!H31),ISNUMBER(Amortize_Prod!H29)),IF(Amortize_Prod!H31&gt;0,Amortize_Prod!H29*1000000/Amortize_Prod!H31,0),"SLO 不可達")</f>
        <v>1.22510604406222</v>
      </c>
      <c r="I32" s="173" t="n">
        <f aca="false">IF(AND(ISNUMBER(Amortize_Prod!I31),ISNUMBER(Amortize_Prod!I29)),IF(Amortize_Prod!I31&gt;0,Amortize_Prod!I29*1000000/Amortize_Prod!I31,0),"SLO 不可達")</f>
        <v>0.526392956847605</v>
      </c>
      <c r="J32" s="173" t="n">
        <f aca="false">IF(AND(ISNUMBER(Amortize_Prod!J31),ISNUMBER(Amortize_Prod!J29)),IF(Amortize_Prod!J31&gt;0,Amortize_Prod!J29*1000000/Amortize_Prod!J31,0),"SLO 不可達")</f>
        <v>0.679866966574605</v>
      </c>
      <c r="K32" s="173" t="n">
        <f aca="false">IF(AND(ISNUMBER(Amortize_Prod!K31),ISNUMBER(Amortize_Prod!K29)),IF(Amortize_Prod!K31&gt;0,Amortize_Prod!K29*1000000/Amortize_Prod!K31,0),"SLO 不可達")</f>
        <v>1.15750665788106</v>
      </c>
      <c r="L32" s="173" t="n">
        <f aca="false">IF(AND(ISNUMBER(Amortize_Prod!L31),ISNUMBER(Amortize_Prod!L29)),IF(Amortize_Prod!L31&gt;0,Amortize_Prod!L29*1000000/Amortize_Prod!L31,0),"SLO 不可達")</f>
        <v>0.186420637843686</v>
      </c>
      <c r="M32" s="173" t="n">
        <f aca="false">IF(AND(ISNUMBER(Amortize_Prod!M31),ISNUMBER(Amortize_Prod!M29)),IF(Amortize_Prod!M31&gt;0,Amortize_Prod!M29*1000000/Amortize_Prod!M31,0),"SLO 不可達")</f>
        <v>0.239598577904685</v>
      </c>
      <c r="N32" s="173" t="n">
        <f aca="false">IF(AND(ISNUMBER(Amortize_Prod!N31),ISNUMBER(Amortize_Prod!N29)),IF(Amortize_Prod!N31&gt;0,Amortize_Prod!N29*1000000/Amortize_Prod!N31,0),"SLO 不可達")</f>
        <v>0.387078922163684</v>
      </c>
      <c r="O32" s="173" t="n">
        <f aca="false">IF(AND(ISNUMBER(Amortize_Prod!O31),ISNUMBER(Amortize_Prod!O29)),IF(Amortize_Prod!O31&gt;0,Amortize_Prod!O29*1000000/Amortize_Prod!O31,0),"SLO 不可達")</f>
        <v>0.0931826562513697</v>
      </c>
      <c r="P32" s="173" t="n">
        <f aca="false">IF(AND(ISNUMBER(Amortize_Prod!P31),ISNUMBER(Amortize_Prod!P29)),IF(Amortize_Prod!P31&gt;0,Amortize_Prod!P29*1000000/Amortize_Prod!P31,0),"SLO 不可達")</f>
        <v>0.141624860669833</v>
      </c>
      <c r="Q32" s="173" t="n">
        <f aca="false">IF(AND(ISNUMBER(Amortize_Prod!Q31),ISNUMBER(Amortize_Prod!Q29)),IF(Amortize_Prod!Q31&gt;0,Amortize_Prod!Q29*1000000/Amortize_Prod!Q31,0),"SLO 不可達")</f>
        <v>0.258542057129044</v>
      </c>
      <c r="S32" s="173" t="n">
        <f aca="false">IF(AND(ISNUMBER(Amortize_Prod!S31),ISNUMBER(Amortize_Prod!S29)),IF(Amortize_Prod!S31&gt;0,Amortize_Prod!S29*1000000/Amortize_Prod!S31,0),"SLO 不可達")</f>
        <v>4.21660204115075</v>
      </c>
      <c r="T32" s="173" t="n">
        <f aca="false">IF(AND(ISNUMBER(Amortize_Prod!T31),ISNUMBER(Amortize_Prod!T29)),IF(Amortize_Prod!T31&gt;0,Amortize_Prod!T29*1000000/Amortize_Prod!T31,0),"SLO 不可達")</f>
        <v>6.02468088558382</v>
      </c>
      <c r="U32" s="173" t="n">
        <f aca="false">IF(AND(ISNUMBER(Amortize_Prod!U31),ISNUMBER(Amortize_Prod!U29)),IF(Amortize_Prod!U31&gt;0,Amortize_Prod!U29*1000000/Amortize_Prod!U31,0),"SLO 不可達")</f>
        <v>10.3465930003613</v>
      </c>
      <c r="V32" s="173" t="n">
        <f aca="false">IF(AND(ISNUMBER(Amortize_Prod!V31),ISNUMBER(Amortize_Prod!V29)),IF(Amortize_Prod!V31&gt;0,Amortize_Prod!V29*1000000/Amortize_Prod!V31,0),"SLO 不可達")</f>
        <v>0.402092994157101</v>
      </c>
      <c r="W32" s="173" t="n">
        <f aca="false">IF(AND(ISNUMBER(Amortize_Prod!W31),ISNUMBER(Amortize_Prod!W29)),IF(Amortize_Prod!W31&gt;0,Amortize_Prod!W29*1000000/Amortize_Prod!W31,0),"SLO 不可達")</f>
        <v>0.536878729995042</v>
      </c>
      <c r="X32" s="173" t="n">
        <f aca="false">IF(AND(ISNUMBER(Amortize_Prod!X31),ISNUMBER(Amortize_Prod!X29)),IF(Amortize_Prod!X31&gt;0,Amortize_Prod!X29*1000000/Amortize_Prod!X31,0),"SLO 不可達")</f>
        <v>0.870774140991408</v>
      </c>
      <c r="Y32" s="173" t="n">
        <f aca="false">IF(AND(ISNUMBER(Amortize_Prod!Y31),ISNUMBER(Amortize_Prod!Y29)),IF(Amortize_Prod!Y31&gt;0,Amortize_Prod!Y29*1000000/Amortize_Prod!Y31,0),"SLO 不可達")</f>
        <v>0.366823042465288</v>
      </c>
      <c r="Z32" s="173" t="n">
        <f aca="false">IF(AND(ISNUMBER(Amortize_Prod!Z31),ISNUMBER(Amortize_Prod!Z29)),IF(Amortize_Prod!Z31&gt;0,Amortize_Prod!Z29*1000000/Amortize_Prod!Z31,0),"SLO 不可達")</f>
        <v>0.473773187703846</v>
      </c>
      <c r="AA32" s="173" t="n">
        <f aca="false">IF(AND(ISNUMBER(Amortize_Prod!AA31),ISNUMBER(Amortize_Prod!AA29)),IF(Amortize_Prod!AA31&gt;0,Amortize_Prod!AA29*1000000/Amortize_Prod!AA31,0),"SLO 不可達")</f>
        <v>0.806621951138076</v>
      </c>
      <c r="AB32" s="173" t="n">
        <f aca="false">IF(AND(ISNUMBER(Amortize_Prod!AB31),ISNUMBER(Amortize_Prod!AB29)),IF(Amortize_Prod!AB31&gt;0,Amortize_Prod!AB29*1000000/Amortize_Prod!AB31,0),"SLO 不可達")</f>
        <v>0.136157625325142</v>
      </c>
      <c r="AC32" s="173" t="n">
        <f aca="false">IF(AND(ISNUMBER(Amortize_Prod!AC31),ISNUMBER(Amortize_Prod!AC29)),IF(Amortize_Prod!AC31&gt;0,Amortize_Prod!AC29*1000000/Amortize_Prod!AC31,0),"SLO 不可達")</f>
        <v>0.174997649273883</v>
      </c>
      <c r="AD32" s="173" t="n">
        <f aca="false">IF(AND(ISNUMBER(Amortize_Prod!AD31),ISNUMBER(Amortize_Prod!AD29)),IF(Amortize_Prod!AD31&gt;0,Amortize_Prod!AD29*1000000/Amortize_Prod!AD31,0),"SLO 不可達")</f>
        <v>0.282714121488067</v>
      </c>
      <c r="AE32" s="173" t="n">
        <f aca="false">IF(AND(ISNUMBER(Amortize_Prod!AE31),ISNUMBER(Amortize_Prod!AE29)),IF(Amortize_Prod!AE31&gt;0,Amortize_Prod!AE29*1000000/Amortize_Prod!AE31,0),"SLO 不可達")</f>
        <v>0.0696087421755187</v>
      </c>
      <c r="AF32" s="173" t="n">
        <f aca="false">IF(AND(ISNUMBER(Amortize_Prod!AF31),ISNUMBER(Amortize_Prod!AF29)),IF(Amortize_Prod!AF31&gt;0,Amortize_Prod!AF29*1000000/Amortize_Prod!AF31,0),"SLO 不可達")</f>
        <v>0.105795743635128</v>
      </c>
      <c r="AG32" s="173" t="n">
        <f aca="false">IF(AND(ISNUMBER(Amortize_Prod!AG31),ISNUMBER(Amortize_Prod!AG29)),IF(Amortize_Prod!AG31&gt;0,Amortize_Prod!AG29*1000000/Amortize_Prod!AG31,0),"SLO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1769</v>
      </c>
      <c r="B33" s="56" t="s">
        <v>795</v>
      </c>
      <c r="C33" s="155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5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5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5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5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5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5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5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5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5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5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5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5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5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5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5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5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5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5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5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5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5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5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5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5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5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5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5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5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5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2346</v>
      </c>
    </row>
    <row r="2" customFormat="false" ht="15" hidden="false" customHeight="false" outlineLevel="0" collapsed="false">
      <c r="A2" s="71" t="s">
        <v>2347</v>
      </c>
    </row>
    <row r="3" customFormat="false" ht="15" hidden="false" customHeight="false" outlineLevel="0" collapsed="false">
      <c r="S3" s="57" t="s">
        <v>2319</v>
      </c>
    </row>
    <row r="4" customFormat="false" ht="15" hidden="false" customHeight="false" outlineLevel="0" collapsed="false">
      <c r="A4" s="90" t="str">
        <f aca="false">Theory_Rev!A4</f>
        <v>世代</v>
      </c>
      <c r="C4" s="90" t="str">
        <f aca="false">Theory_Rev!C4</f>
        <v>Hopper H100</v>
      </c>
      <c r="D4" s="90" t="str">
        <f aca="false">Theory_Rev!D4</f>
        <v>Hopper H100</v>
      </c>
      <c r="E4" s="90" t="str">
        <f aca="false">Theory_Rev!E4</f>
        <v>Hopper H100</v>
      </c>
      <c r="F4" s="90" t="str">
        <f aca="false">Theory_Rev!F4</f>
        <v>GB200 NVL72</v>
      </c>
      <c r="G4" s="90" t="str">
        <f aca="false">Theory_Rev!G4</f>
        <v>GB200 NVL72</v>
      </c>
      <c r="H4" s="90" t="str">
        <f aca="false">Theory_Rev!H4</f>
        <v>GB200 NVL72</v>
      </c>
      <c r="I4" s="90" t="str">
        <f aca="false">Theory_Rev!I4</f>
        <v>GB300 NVL72</v>
      </c>
      <c r="J4" s="90" t="str">
        <f aca="false">Theory_Rev!J4</f>
        <v>GB300 NVL72</v>
      </c>
      <c r="K4" s="90" t="str">
        <f aca="false">Theory_Rev!K4</f>
        <v>GB300 NVL72</v>
      </c>
      <c r="L4" s="90" t="str">
        <f aca="false">Theory_Rev!L4</f>
        <v>VR200 NVL72</v>
      </c>
      <c r="M4" s="90" t="str">
        <f aca="false">Theory_Rev!M4</f>
        <v>VR200 NVL72</v>
      </c>
      <c r="N4" s="90" t="str">
        <f aca="false">Theory_Rev!N4</f>
        <v>VR200 NVL72</v>
      </c>
      <c r="O4" s="90" t="str">
        <f aca="false">Theory_Rev!O4</f>
        <v>Rubin Ultra（MGX NVL 單架，72 GPU）</v>
      </c>
      <c r="P4" s="90" t="str">
        <f aca="false">Theory_Rev!P4</f>
        <v>Rubin Ultra（MGX NVL 單架，72 GPU）</v>
      </c>
      <c r="Q4" s="90" t="str">
        <f aca="false">Theory_Rev!Q4</f>
        <v>Rubin Ultra（MGX NVL 單架，72 GPU）</v>
      </c>
      <c r="S4" s="90" t="str">
        <f aca="false">Theory_Rev!C4</f>
        <v>Hopper H100</v>
      </c>
      <c r="T4" s="90" t="str">
        <f aca="false">Theory_Rev!D4</f>
        <v>Hopper H100</v>
      </c>
      <c r="U4" s="90" t="str">
        <f aca="false">Theory_Rev!E4</f>
        <v>Hopper H100</v>
      </c>
      <c r="V4" s="90" t="str">
        <f aca="false">Theory_Rev!F4</f>
        <v>GB200 NVL72</v>
      </c>
      <c r="W4" s="90" t="str">
        <f aca="false">Theory_Rev!G4</f>
        <v>GB200 NVL72</v>
      </c>
      <c r="X4" s="90" t="str">
        <f aca="false">Theory_Rev!H4</f>
        <v>GB200 NVL72</v>
      </c>
      <c r="Y4" s="90" t="str">
        <f aca="false">Theory_Rev!I4</f>
        <v>GB300 NVL72</v>
      </c>
      <c r="Z4" s="90" t="str">
        <f aca="false">Theory_Rev!J4</f>
        <v>GB300 NVL72</v>
      </c>
      <c r="AA4" s="90" t="str">
        <f aca="false">Theory_Rev!K4</f>
        <v>GB300 NVL72</v>
      </c>
      <c r="AB4" s="90" t="str">
        <f aca="false">Theory_Rev!L4</f>
        <v>VR200 NVL72</v>
      </c>
      <c r="AC4" s="90" t="str">
        <f aca="false">Theory_Rev!M4</f>
        <v>VR200 NVL72</v>
      </c>
      <c r="AD4" s="90" t="str">
        <f aca="false">Theory_Rev!N4</f>
        <v>VR200 NVL72</v>
      </c>
      <c r="AE4" s="90" t="str">
        <f aca="false">Theory_Rev!O4</f>
        <v>Rubin Ultra（MGX NVL 單架，72 GPU）</v>
      </c>
      <c r="AF4" s="90" t="str">
        <f aca="false">Theory_Rev!P4</f>
        <v>Rubin Ultra（MGX NVL 單架，72 GPU）</v>
      </c>
      <c r="AG4" s="90" t="str">
        <f aca="false">Theory_Rev!Q4</f>
        <v>Rubin Ultra（MGX NVL 單架，72 GPU）</v>
      </c>
    </row>
    <row r="5" customFormat="false" ht="15" hidden="false" customHeight="false" outlineLevel="0" collapsed="false">
      <c r="A5" s="90" t="str">
        <f aca="false">Theory_Rev!A5</f>
        <v>成本情境</v>
      </c>
      <c r="C5" s="90" t="str">
        <f aca="false">Theory_Rev!C5</f>
        <v>低成本</v>
      </c>
      <c r="D5" s="90" t="str">
        <f aca="false">Theory_Rev!D5</f>
        <v>基準</v>
      </c>
      <c r="E5" s="90" t="str">
        <f aca="false">Theory_Rev!E5</f>
        <v>高成本</v>
      </c>
      <c r="F5" s="90" t="str">
        <f aca="false">Theory_Rev!F5</f>
        <v>低成本</v>
      </c>
      <c r="G5" s="90" t="str">
        <f aca="false">Theory_Rev!G5</f>
        <v>基準</v>
      </c>
      <c r="H5" s="90" t="str">
        <f aca="false">Theory_Rev!H5</f>
        <v>高成本</v>
      </c>
      <c r="I5" s="90" t="str">
        <f aca="false">Theory_Rev!I5</f>
        <v>低成本</v>
      </c>
      <c r="J5" s="90" t="str">
        <f aca="false">Theory_Rev!J5</f>
        <v>基準</v>
      </c>
      <c r="K5" s="90" t="str">
        <f aca="false">Theory_Rev!K5</f>
        <v>高成本</v>
      </c>
      <c r="L5" s="90" t="str">
        <f aca="false">Theory_Rev!L5</f>
        <v>低成本</v>
      </c>
      <c r="M5" s="90" t="str">
        <f aca="false">Theory_Rev!M5</f>
        <v>基準</v>
      </c>
      <c r="N5" s="90" t="str">
        <f aca="false">Theory_Rev!N5</f>
        <v>高成本</v>
      </c>
      <c r="O5" s="90" t="str">
        <f aca="false">Theory_Rev!O5</f>
        <v>低成本</v>
      </c>
      <c r="P5" s="90" t="str">
        <f aca="false">Theory_Rev!P5</f>
        <v>基準</v>
      </c>
      <c r="Q5" s="90" t="str">
        <f aca="false">Theory_Rev!Q5</f>
        <v>高成本</v>
      </c>
      <c r="S5" s="90" t="str">
        <f aca="false">Theory_Rev!C5</f>
        <v>低成本</v>
      </c>
      <c r="T5" s="90" t="str">
        <f aca="false">Theory_Rev!D5</f>
        <v>基準</v>
      </c>
      <c r="U5" s="90" t="str">
        <f aca="false">Theory_Rev!E5</f>
        <v>高成本</v>
      </c>
      <c r="V5" s="90" t="str">
        <f aca="false">Theory_Rev!F5</f>
        <v>低成本</v>
      </c>
      <c r="W5" s="90" t="str">
        <f aca="false">Theory_Rev!G5</f>
        <v>基準</v>
      </c>
      <c r="X5" s="90" t="str">
        <f aca="false">Theory_Rev!H5</f>
        <v>高成本</v>
      </c>
      <c r="Y5" s="90" t="str">
        <f aca="false">Theory_Rev!I5</f>
        <v>低成本</v>
      </c>
      <c r="Z5" s="90" t="str">
        <f aca="false">Theory_Rev!J5</f>
        <v>基準</v>
      </c>
      <c r="AA5" s="90" t="str">
        <f aca="false">Theory_Rev!K5</f>
        <v>高成本</v>
      </c>
      <c r="AB5" s="90" t="str">
        <f aca="false">Theory_Rev!L5</f>
        <v>低成本</v>
      </c>
      <c r="AC5" s="90" t="str">
        <f aca="false">Theory_Rev!M5</f>
        <v>基準</v>
      </c>
      <c r="AD5" s="90" t="str">
        <f aca="false">Theory_Rev!N5</f>
        <v>高成本</v>
      </c>
      <c r="AE5" s="90" t="str">
        <f aca="false">Theory_Rev!O5</f>
        <v>低成本</v>
      </c>
      <c r="AF5" s="90" t="str">
        <f aca="false">Theory_Rev!P5</f>
        <v>基準</v>
      </c>
      <c r="AG5" s="90" t="str">
        <f aca="false">Theory_Rev!Q5</f>
        <v>高成本</v>
      </c>
    </row>
    <row r="6" customFormat="false" ht="15" hidden="false" customHeight="false" outlineLevel="0" collapsed="false">
      <c r="A6" s="90" t="str">
        <f aca="false">Theory_Rev!A6</f>
        <v>世代索引</v>
      </c>
      <c r="C6" s="87" t="n">
        <f aca="false">Theory_Rev!C6</f>
        <v>1</v>
      </c>
      <c r="D6" s="87" t="n">
        <f aca="false">Theory_Rev!D6</f>
        <v>1</v>
      </c>
      <c r="E6" s="87" t="n">
        <f aca="false">Theory_Rev!E6</f>
        <v>1</v>
      </c>
      <c r="F6" s="87" t="n">
        <f aca="false">Theory_Rev!F6</f>
        <v>2</v>
      </c>
      <c r="G6" s="87" t="n">
        <f aca="false">Theory_Rev!G6</f>
        <v>2</v>
      </c>
      <c r="H6" s="87" t="n">
        <f aca="false">Theory_Rev!H6</f>
        <v>2</v>
      </c>
      <c r="I6" s="87" t="n">
        <f aca="false">Theory_Rev!I6</f>
        <v>3</v>
      </c>
      <c r="J6" s="87" t="n">
        <f aca="false">Theory_Rev!J6</f>
        <v>3</v>
      </c>
      <c r="K6" s="87" t="n">
        <f aca="false">Theory_Rev!K6</f>
        <v>3</v>
      </c>
      <c r="L6" s="87" t="n">
        <f aca="false">Theory_Rev!L6</f>
        <v>4</v>
      </c>
      <c r="M6" s="87" t="n">
        <f aca="false">Theory_Rev!M6</f>
        <v>4</v>
      </c>
      <c r="N6" s="87" t="n">
        <f aca="false">Theory_Rev!N6</f>
        <v>4</v>
      </c>
      <c r="O6" s="87" t="n">
        <f aca="false">Theory_Rev!O6</f>
        <v>5</v>
      </c>
      <c r="P6" s="87" t="n">
        <f aca="false">Theory_Rev!P6</f>
        <v>5</v>
      </c>
      <c r="Q6" s="87" t="n">
        <f aca="false">Theory_Rev!Q6</f>
        <v>5</v>
      </c>
      <c r="S6" s="87" t="n">
        <f aca="false">Theory_Rev!C6</f>
        <v>1</v>
      </c>
      <c r="T6" s="87" t="n">
        <f aca="false">Theory_Rev!D6</f>
        <v>1</v>
      </c>
      <c r="U6" s="87" t="n">
        <f aca="false">Theory_Rev!E6</f>
        <v>1</v>
      </c>
      <c r="V6" s="87" t="n">
        <f aca="false">Theory_Rev!F6</f>
        <v>2</v>
      </c>
      <c r="W6" s="87" t="n">
        <f aca="false">Theory_Rev!G6</f>
        <v>2</v>
      </c>
      <c r="X6" s="87" t="n">
        <f aca="false">Theory_Rev!H6</f>
        <v>2</v>
      </c>
      <c r="Y6" s="87" t="n">
        <f aca="false">Theory_Rev!I6</f>
        <v>3</v>
      </c>
      <c r="Z6" s="87" t="n">
        <f aca="false">Theory_Rev!J6</f>
        <v>3</v>
      </c>
      <c r="AA6" s="87" t="n">
        <f aca="false">Theory_Rev!K6</f>
        <v>3</v>
      </c>
      <c r="AB6" s="87" t="n">
        <f aca="false">Theory_Rev!L6</f>
        <v>4</v>
      </c>
      <c r="AC6" s="87" t="n">
        <f aca="false">Theory_Rev!M6</f>
        <v>4</v>
      </c>
      <c r="AD6" s="87" t="n">
        <f aca="false">Theory_Rev!N6</f>
        <v>4</v>
      </c>
      <c r="AE6" s="87" t="n">
        <f aca="false">Theory_Rev!O6</f>
        <v>5</v>
      </c>
      <c r="AF6" s="87" t="n">
        <f aca="false">Theory_Rev!P6</f>
        <v>5</v>
      </c>
      <c r="AG6" s="87" t="n">
        <f aca="false">Theory_Rev!Q6</f>
        <v>5</v>
      </c>
    </row>
    <row r="7" customFormat="false" ht="15" hidden="false" customHeight="false" outlineLevel="0" collapsed="false">
      <c r="A7" s="90" t="str">
        <f aca="false">Theory_Rev!A7</f>
        <v>欄索引</v>
      </c>
      <c r="C7" s="87" t="n">
        <f aca="false">Theory_Rev!C7</f>
        <v>1</v>
      </c>
      <c r="D7" s="87" t="n">
        <f aca="false">Theory_Rev!D7</f>
        <v>2</v>
      </c>
      <c r="E7" s="87" t="n">
        <f aca="false">Theory_Rev!E7</f>
        <v>3</v>
      </c>
      <c r="F7" s="87" t="n">
        <f aca="false">Theory_Rev!F7</f>
        <v>4</v>
      </c>
      <c r="G7" s="87" t="n">
        <f aca="false">Theory_Rev!G7</f>
        <v>5</v>
      </c>
      <c r="H7" s="87" t="n">
        <f aca="false">Theory_Rev!H7</f>
        <v>6</v>
      </c>
      <c r="I7" s="87" t="n">
        <f aca="false">Theory_Rev!I7</f>
        <v>7</v>
      </c>
      <c r="J7" s="87" t="n">
        <f aca="false">Theory_Rev!J7</f>
        <v>8</v>
      </c>
      <c r="K7" s="87" t="n">
        <f aca="false">Theory_Rev!K7</f>
        <v>9</v>
      </c>
      <c r="L7" s="87" t="n">
        <f aca="false">Theory_Rev!L7</f>
        <v>10</v>
      </c>
      <c r="M7" s="87" t="n">
        <f aca="false">Theory_Rev!M7</f>
        <v>11</v>
      </c>
      <c r="N7" s="87" t="n">
        <f aca="false">Theory_Rev!N7</f>
        <v>12</v>
      </c>
      <c r="O7" s="87" t="n">
        <f aca="false">Theory_Rev!O7</f>
        <v>13</v>
      </c>
      <c r="P7" s="87" t="n">
        <f aca="false">Theory_Rev!P7</f>
        <v>14</v>
      </c>
      <c r="Q7" s="87" t="n">
        <f aca="false">Theory_Rev!Q7</f>
        <v>15</v>
      </c>
      <c r="S7" s="87" t="n">
        <f aca="false">Theory_Rev!C7</f>
        <v>1</v>
      </c>
      <c r="T7" s="87" t="n">
        <f aca="false">Theory_Rev!D7</f>
        <v>2</v>
      </c>
      <c r="U7" s="87" t="n">
        <f aca="false">Theory_Rev!E7</f>
        <v>3</v>
      </c>
      <c r="V7" s="87" t="n">
        <f aca="false">Theory_Rev!F7</f>
        <v>4</v>
      </c>
      <c r="W7" s="87" t="n">
        <f aca="false">Theory_Rev!G7</f>
        <v>5</v>
      </c>
      <c r="X7" s="87" t="n">
        <f aca="false">Theory_Rev!H7</f>
        <v>6</v>
      </c>
      <c r="Y7" s="87" t="n">
        <f aca="false">Theory_Rev!I7</f>
        <v>7</v>
      </c>
      <c r="Z7" s="87" t="n">
        <f aca="false">Theory_Rev!J7</f>
        <v>8</v>
      </c>
      <c r="AA7" s="87" t="n">
        <f aca="false">Theory_Rev!K7</f>
        <v>9</v>
      </c>
      <c r="AB7" s="87" t="n">
        <f aca="false">Theory_Rev!L7</f>
        <v>10</v>
      </c>
      <c r="AC7" s="87" t="n">
        <f aca="false">Theory_Rev!M7</f>
        <v>11</v>
      </c>
      <c r="AD7" s="87" t="n">
        <f aca="false">Theory_Rev!N7</f>
        <v>12</v>
      </c>
      <c r="AE7" s="87" t="n">
        <f aca="false">Theory_Rev!O7</f>
        <v>13</v>
      </c>
      <c r="AF7" s="87" t="n">
        <f aca="false">Theory_Rev!P7</f>
        <v>14</v>
      </c>
      <c r="AG7" s="87" t="n">
        <f aca="false">Theory_Rev!Q7</f>
        <v>15</v>
      </c>
    </row>
    <row r="10" customFormat="false" ht="15" hidden="false" customHeight="false" outlineLevel="0" collapsed="false">
      <c r="A10" s="58" t="s">
        <v>1794</v>
      </c>
      <c r="B10" s="56" t="s">
        <v>2321</v>
      </c>
      <c r="C10" s="60" t="n">
        <f aca="false">IF(ISNUMBER(INDEX(Interface_Prod!$C$21:$Q$21,1,Theory_Rev!C$7)),INDEX(Interface_Prod!$C$21:$Q$21,1,Theory_Rev!C$7)*IF_Util,INDEX(Interface_Prod!$C$21:$Q$21,1,Theory_Rev!C$7))</f>
        <v>30459914981.947</v>
      </c>
      <c r="D10" s="60" t="n">
        <f aca="false">IF(ISNUMBER(INDEX(Interface_Prod!$C$21:$Q$21,1,Theory_Rev!D$7)),INDEX(Interface_Prod!$C$21:$Q$21,1,Theory_Rev!D$7)*IF_Util,INDEX(Interface_Prod!$C$21:$Q$21,1,Theory_Rev!D$7))</f>
        <v>30459914981.947</v>
      </c>
      <c r="E10" s="60" t="n">
        <f aca="false">IF(ISNUMBER(INDEX(Interface_Prod!$C$21:$Q$21,1,Theory_Rev!E$7)),INDEX(Interface_Prod!$C$21:$Q$21,1,Theory_Rev!E$7)*IF_Util,INDEX(Interface_Prod!$C$21:$Q$21,1,Theory_Rev!E$7))</f>
        <v>30459914981.947</v>
      </c>
      <c r="F10" s="60" t="n">
        <f aca="false">IF(ISNUMBER(INDEX(Interface_Prod!$C$21:$Q$21,1,Theory_Rev!F$7)),INDEX(Interface_Prod!$C$21:$Q$21,1,Theory_Rev!F$7)*IF_Util,INDEX(Interface_Prod!$C$21:$Q$21,1,Theory_Rev!F$7))</f>
        <v>169939535002.135</v>
      </c>
      <c r="G10" s="60" t="n">
        <f aca="false">IF(ISNUMBER(INDEX(Interface_Prod!$C$21:$Q$21,1,Theory_Rev!G$7)),INDEX(Interface_Prod!$C$21:$Q$21,1,Theory_Rev!G$7)*IF_Util,INDEX(Interface_Prod!$C$21:$Q$21,1,Theory_Rev!G$7))</f>
        <v>169939535002.135</v>
      </c>
      <c r="H10" s="60" t="n">
        <f aca="false">IF(ISNUMBER(INDEX(Interface_Prod!$C$21:$Q$21,1,Theory_Rev!H$7)),INDEX(Interface_Prod!$C$21:$Q$21,1,Theory_Rev!H$7)*IF_Util,INDEX(Interface_Prod!$C$21:$Q$21,1,Theory_Rev!H$7))</f>
        <v>169939535002.135</v>
      </c>
      <c r="I10" s="60" t="n">
        <f aca="false">IF(ISNUMBER(INDEX(Interface_Prod!$C$21:$Q$21,1,Theory_Rev!I$7)),INDEX(Interface_Prod!$C$21:$Q$21,1,Theory_Rev!I$7)*IF_Util,INDEX(Interface_Prod!$C$21:$Q$21,1,Theory_Rev!I$7))</f>
        <v>247410894264.839</v>
      </c>
      <c r="J10" s="60" t="n">
        <f aca="false">IF(ISNUMBER(INDEX(Interface_Prod!$C$21:$Q$21,1,Theory_Rev!J$7)),INDEX(Interface_Prod!$C$21:$Q$21,1,Theory_Rev!J$7)*IF_Util,INDEX(Interface_Prod!$C$21:$Q$21,1,Theory_Rev!J$7))</f>
        <v>247410894264.839</v>
      </c>
      <c r="K10" s="60" t="n">
        <f aca="false">IF(ISNUMBER(INDEX(Interface_Prod!$C$21:$Q$21,1,Theory_Rev!K$7)),INDEX(Interface_Prod!$C$21:$Q$21,1,Theory_Rev!K$7)*IF_Util,INDEX(Interface_Prod!$C$21:$Q$21,1,Theory_Rev!K$7))</f>
        <v>247410894264.839</v>
      </c>
      <c r="L10" s="60" t="n">
        <f aca="false">IF(ISNUMBER(INDEX(Interface_Prod!$C$21:$Q$21,1,Theory_Rev!L$7)),INDEX(Interface_Prod!$C$21:$Q$21,1,Theory_Rev!L$7)*IF_Util,INDEX(Interface_Prod!$C$21:$Q$21,1,Theory_Rev!L$7))</f>
        <v>364947447719.714</v>
      </c>
      <c r="M10" s="60" t="n">
        <f aca="false">IF(ISNUMBER(INDEX(Interface_Prod!$C$21:$Q$21,1,Theory_Rev!M$7)),INDEX(Interface_Prod!$C$21:$Q$21,1,Theory_Rev!M$7)*IF_Util,INDEX(Interface_Prod!$C$21:$Q$21,1,Theory_Rev!M$7))</f>
        <v>364947447719.714</v>
      </c>
      <c r="N10" s="60" t="n">
        <f aca="false">IF(ISNUMBER(INDEX(Interface_Prod!$C$21:$Q$21,1,Theory_Rev!N$7)),INDEX(Interface_Prod!$C$21:$Q$21,1,Theory_Rev!N$7)*IF_Util,INDEX(Interface_Prod!$C$21:$Q$21,1,Theory_Rev!N$7))</f>
        <v>364947447719.714</v>
      </c>
      <c r="O10" s="60" t="n">
        <f aca="false">IF(ISNUMBER(INDEX(Interface_Prod!$C$21:$Q$21,1,Theory_Rev!O$7)),INDEX(Interface_Prod!$C$21:$Q$21,1,Theory_Rev!O$7)*IF_Util,INDEX(Interface_Prod!$C$21:$Q$21,1,Theory_Rev!O$7))</f>
        <v>494044742874.106</v>
      </c>
      <c r="P10" s="60" t="n">
        <f aca="false">IF(ISNUMBER(INDEX(Interface_Prod!$C$21:$Q$21,1,Theory_Rev!P$7)),INDEX(Interface_Prod!$C$21:$Q$21,1,Theory_Rev!P$7)*IF_Util,INDEX(Interface_Prod!$C$21:$Q$21,1,Theory_Rev!P$7))</f>
        <v>494044742874.106</v>
      </c>
      <c r="Q10" s="60" t="n">
        <f aca="false">IF(ISNUMBER(INDEX(Interface_Prod!$C$21:$Q$21,1,Theory_Rev!Q$7)),INDEX(Interface_Prod!$C$21:$Q$21,1,Theory_Rev!Q$7)*IF_Util,INDEX(Interface_Prod!$C$21:$Q$21,1,Theory_Rev!Q$7))</f>
        <v>494044742874.106</v>
      </c>
      <c r="S10" s="60" t="n">
        <f aca="false">IF(ISNUMBER(INDEX(Interface_Prod!$S$21:$AG$21,1,Theory_Rev!C$7)),INDEX(Interface_Prod!$S$21:$AG$21,1,Theory_Rev!C$7)*IF_Util,INDEX(Interface_Prod!$S$21:$AG$21,1,Theory_Rev!C$7))</f>
        <v>44440350782.9534</v>
      </c>
      <c r="T10" s="60" t="n">
        <f aca="false">IF(ISNUMBER(INDEX(Interface_Prod!$S$21:$AG$21,1,Theory_Rev!D$7)),INDEX(Interface_Prod!$S$21:$AG$21,1,Theory_Rev!D$7)*IF_Util,INDEX(Interface_Prod!$S$21:$AG$21,1,Theory_Rev!D$7))</f>
        <v>44440350782.9534</v>
      </c>
      <c r="U10" s="60" t="n">
        <f aca="false">IF(ISNUMBER(INDEX(Interface_Prod!$S$21:$AG$21,1,Theory_Rev!E$7)),INDEX(Interface_Prod!$S$21:$AG$21,1,Theory_Rev!E$7)*IF_Util,INDEX(Interface_Prod!$S$21:$AG$21,1,Theory_Rev!E$7))</f>
        <v>44440350782.9534</v>
      </c>
      <c r="V10" s="60" t="n">
        <f aca="false">IF(ISNUMBER(INDEX(Interface_Prod!$S$21:$AG$21,1,Theory_Rev!F$7)),INDEX(Interface_Prod!$S$21:$AG$21,1,Theory_Rev!F$7)*IF_Util,INDEX(Interface_Prod!$S$21:$AG$21,1,Theory_Rev!F$7))</f>
        <v>217384136451.368</v>
      </c>
      <c r="W10" s="60" t="n">
        <f aca="false">IF(ISNUMBER(INDEX(Interface_Prod!$S$21:$AG$21,1,Theory_Rev!G$7)),INDEX(Interface_Prod!$S$21:$AG$21,1,Theory_Rev!G$7)*IF_Util,INDEX(Interface_Prod!$S$21:$AG$21,1,Theory_Rev!G$7))</f>
        <v>217384136451.368</v>
      </c>
      <c r="X10" s="60" t="n">
        <f aca="false">IF(ISNUMBER(INDEX(Interface_Prod!$S$21:$AG$21,1,Theory_Rev!H$7)),INDEX(Interface_Prod!$S$21:$AG$21,1,Theory_Rev!H$7)*IF_Util,INDEX(Interface_Prod!$S$21:$AG$21,1,Theory_Rev!H$7))</f>
        <v>217384136451.368</v>
      </c>
      <c r="Y10" s="60" t="n">
        <f aca="false">IF(ISNUMBER(INDEX(Interface_Prod!$S$21:$AG$21,1,Theory_Rev!I$7)),INDEX(Interface_Prod!$S$21:$AG$21,1,Theory_Rev!I$7)*IF_Util,INDEX(Interface_Prod!$S$21:$AG$21,1,Theory_Rev!I$7))</f>
        <v>316484351906.383</v>
      </c>
      <c r="Z10" s="60" t="n">
        <f aca="false">IF(ISNUMBER(INDEX(Interface_Prod!$S$21:$AG$21,1,Theory_Rev!J$7)),INDEX(Interface_Prod!$S$21:$AG$21,1,Theory_Rev!J$7)*IF_Util,INDEX(Interface_Prod!$S$21:$AG$21,1,Theory_Rev!J$7))</f>
        <v>316484351906.383</v>
      </c>
      <c r="AA10" s="60" t="n">
        <f aca="false">IF(ISNUMBER(INDEX(Interface_Prod!$S$21:$AG$21,1,Theory_Rev!K$7)),INDEX(Interface_Prod!$S$21:$AG$21,1,Theory_Rev!K$7)*IF_Util,INDEX(Interface_Prod!$S$21:$AG$21,1,Theory_Rev!K$7))</f>
        <v>316484351906.383</v>
      </c>
      <c r="AB10" s="60" t="n">
        <f aca="false">IF(ISNUMBER(INDEX(Interface_Prod!$S$21:$AG$21,1,Theory_Rev!L$7)),INDEX(Interface_Prod!$S$21:$AG$21,1,Theory_Rev!L$7)*IF_Util,INDEX(Interface_Prod!$S$21:$AG$21,1,Theory_Rev!L$7))</f>
        <v>463667040596.067</v>
      </c>
      <c r="AC10" s="60" t="n">
        <f aca="false">IF(ISNUMBER(INDEX(Interface_Prod!$S$21:$AG$21,1,Theory_Rev!M$7)),INDEX(Interface_Prod!$S$21:$AG$21,1,Theory_Rev!M$7)*IF_Util,INDEX(Interface_Prod!$S$21:$AG$21,1,Theory_Rev!M$7))</f>
        <v>463667040596.067</v>
      </c>
      <c r="AD10" s="60" t="n">
        <f aca="false">IF(ISNUMBER(INDEX(Interface_Prod!$S$21:$AG$21,1,Theory_Rev!N$7)),INDEX(Interface_Prod!$S$21:$AG$21,1,Theory_Rev!N$7)*IF_Util,INDEX(Interface_Prod!$S$21:$AG$21,1,Theory_Rev!N$7))</f>
        <v>463667040596.067</v>
      </c>
      <c r="AE10" s="60" t="n">
        <f aca="false">IF(ISNUMBER(INDEX(Interface_Prod!$S$21:$AG$21,1,Theory_Rev!O$7)),INDEX(Interface_Prod!$S$21:$AG$21,1,Theory_Rev!O$7)*IF_Util,INDEX(Interface_Prod!$S$21:$AG$21,1,Theory_Rev!O$7))</f>
        <v>626624227834.433</v>
      </c>
      <c r="AF10" s="60" t="n">
        <f aca="false">IF(ISNUMBER(INDEX(Interface_Prod!$S$21:$AG$21,1,Theory_Rev!P$7)),INDEX(Interface_Prod!$S$21:$AG$21,1,Theory_Rev!P$7)*IF_Util,INDEX(Interface_Prod!$S$21:$AG$21,1,Theory_Rev!P$7))</f>
        <v>626624227834.433</v>
      </c>
      <c r="AG10" s="60" t="n">
        <f aca="false">IF(ISNUMBER(INDEX(Interface_Prod!$S$21:$AG$21,1,Theory_Rev!Q$7)),INDEX(Interface_Prod!$S$21:$AG$21,1,Theory_Rev!Q$7)*IF_Util,INDEX(Interface_Prod!$S$21:$AG$21,1,Theory_Rev!Q$7))</f>
        <v>626624227834.433</v>
      </c>
    </row>
    <row r="11" customFormat="false" ht="15" hidden="false" customHeight="false" outlineLevel="0" collapsed="false">
      <c r="A11" s="58" t="s">
        <v>1795</v>
      </c>
      <c r="B11" s="56" t="s">
        <v>2348</v>
      </c>
      <c r="C11" s="159" t="n">
        <f aca="false">IF(ISNUMBER(Theory_Rev_Prod!C10),Theory_Rev_Prod!C10*INDEX(B4_EffRef,1,1)/1000000000,Theory_Rev_Prod!C10)</f>
        <v>2.44762339054934</v>
      </c>
      <c r="D11" s="159" t="n">
        <f aca="false">IF(ISNUMBER(Theory_Rev_Prod!D10),Theory_Rev_Prod!D10*INDEX(B4_EffRef,1,1)/1000000000,Theory_Rev_Prod!D10)</f>
        <v>2.44762339054934</v>
      </c>
      <c r="E11" s="159" t="n">
        <f aca="false">IF(ISNUMBER(Theory_Rev_Prod!E10),Theory_Rev_Prod!E10*INDEX(B4_EffRef,1,1)/1000000000,Theory_Rev_Prod!E10)</f>
        <v>2.44762339054934</v>
      </c>
      <c r="F11" s="159" t="n">
        <f aca="false">IF(ISNUMBER(Theory_Rev_Prod!F10),Theory_Rev_Prod!F10*INDEX(B4_EffRef,1,1)/1000000000,Theory_Rev_Prod!F10)</f>
        <v>13.6555857459493</v>
      </c>
      <c r="G11" s="159" t="n">
        <f aca="false">IF(ISNUMBER(Theory_Rev_Prod!G10),Theory_Rev_Prod!G10*INDEX(B4_EffRef,1,1)/1000000000,Theory_Rev_Prod!G10)</f>
        <v>13.6555857459493</v>
      </c>
      <c r="H11" s="159" t="n">
        <f aca="false">IF(ISNUMBER(Theory_Rev_Prod!H10),Theory_Rev_Prod!H10*INDEX(B4_EffRef,1,1)/1000000000,Theory_Rev_Prod!H10)</f>
        <v>13.6555857459493</v>
      </c>
      <c r="I11" s="159" t="n">
        <f aca="false">IF(ISNUMBER(Theory_Rev_Prod!I10),Theory_Rev_Prod!I10*INDEX(B4_EffRef,1,1)/1000000000,Theory_Rev_Prod!I10)</f>
        <v>19.8808398591479</v>
      </c>
      <c r="J11" s="159" t="n">
        <f aca="false">IF(ISNUMBER(Theory_Rev_Prod!J10),Theory_Rev_Prod!J10*INDEX(B4_EffRef,1,1)/1000000000,Theory_Rev_Prod!J10)</f>
        <v>19.8808398591479</v>
      </c>
      <c r="K11" s="159" t="n">
        <f aca="false">IF(ISNUMBER(Theory_Rev_Prod!K10),Theory_Rev_Prod!K10*INDEX(B4_EffRef,1,1)/1000000000,Theory_Rev_Prod!K10)</f>
        <v>19.8808398591479</v>
      </c>
      <c r="L11" s="159" t="n">
        <f aca="false">IF(ISNUMBER(Theory_Rev_Prod!L10),Theory_Rev_Prod!L10*INDEX(B4_EffRef,1,1)/1000000000,Theory_Rev_Prod!L10)</f>
        <v>29.3255549100997</v>
      </c>
      <c r="M11" s="159" t="n">
        <f aca="false">IF(ISNUMBER(Theory_Rev_Prod!M10),Theory_Rev_Prod!M10*INDEX(B4_EffRef,1,1)/1000000000,Theory_Rev_Prod!M10)</f>
        <v>29.3255549100997</v>
      </c>
      <c r="N11" s="159" t="n">
        <f aca="false">IF(ISNUMBER(Theory_Rev_Prod!N10),Theory_Rev_Prod!N10*INDEX(B4_EffRef,1,1)/1000000000,Theory_Rev_Prod!N10)</f>
        <v>29.3255549100997</v>
      </c>
      <c r="O11" s="159" t="n">
        <f aca="false">IF(ISNUMBER(Theory_Rev_Prod!O10),Theory_Rev_Prod!O10*INDEX(B4_EffRef,1,1)/1000000000,Theory_Rev_Prod!O10)</f>
        <v>39.6992397829504</v>
      </c>
      <c r="P11" s="159" t="n">
        <f aca="false">IF(ISNUMBER(Theory_Rev_Prod!P10),Theory_Rev_Prod!P10*INDEX(B4_EffRef,1,1)/1000000000,Theory_Rev_Prod!P10)</f>
        <v>39.6992397829504</v>
      </c>
      <c r="Q11" s="159" t="n">
        <f aca="false">IF(ISNUMBER(Theory_Rev_Prod!Q10),Theory_Rev_Prod!Q10*INDEX(B4_EffRef,1,1)/1000000000,Theory_Rev_Prod!Q10)</f>
        <v>39.6992397829504</v>
      </c>
      <c r="S11" s="159" t="n">
        <f aca="false">IF(ISNUMBER(Theory_Rev_Prod!S10),Theory_Rev_Prod!S10*INDEX(B4_EffRef,1,1)/1000000000,Theory_Rev_Prod!S10)</f>
        <v>3.57102907624799</v>
      </c>
      <c r="T11" s="159" t="n">
        <f aca="false">IF(ISNUMBER(Theory_Rev_Prod!T10),Theory_Rev_Prod!T10*INDEX(B4_EffRef,1,1)/1000000000,Theory_Rev_Prod!T10)</f>
        <v>3.57102907624799</v>
      </c>
      <c r="U11" s="159" t="n">
        <f aca="false">IF(ISNUMBER(Theory_Rev_Prod!U10),Theory_Rev_Prod!U10*INDEX(B4_EffRef,1,1)/1000000000,Theory_Rev_Prod!U10)</f>
        <v>3.57102907624799</v>
      </c>
      <c r="V11" s="159" t="n">
        <f aca="false">IF(ISNUMBER(Theory_Rev_Prod!V10),Theory_Rev_Prod!V10*INDEX(B4_EffRef,1,1)/1000000000,Theory_Rev_Prod!V10)</f>
        <v>17.4680230535144</v>
      </c>
      <c r="W11" s="159" t="n">
        <f aca="false">IF(ISNUMBER(Theory_Rev_Prod!W10),Theory_Rev_Prod!W10*INDEX(B4_EffRef,1,1)/1000000000,Theory_Rev_Prod!W10)</f>
        <v>17.4680230535144</v>
      </c>
      <c r="X11" s="159" t="n">
        <f aca="false">IF(ISNUMBER(Theory_Rev_Prod!X10),Theory_Rev_Prod!X10*INDEX(B4_EffRef,1,1)/1000000000,Theory_Rev_Prod!X10)</f>
        <v>17.4680230535144</v>
      </c>
      <c r="Y11" s="159" t="n">
        <f aca="false">IF(ISNUMBER(Theory_Rev_Prod!Y10),Theory_Rev_Prod!Y10*INDEX(B4_EffRef,1,1)/1000000000,Theory_Rev_Prod!Y10)</f>
        <v>25.4312759220773</v>
      </c>
      <c r="Z11" s="159" t="n">
        <f aca="false">IF(ISNUMBER(Theory_Rev_Prod!Z10),Theory_Rev_Prod!Z10*INDEX(B4_EffRef,1,1)/1000000000,Theory_Rev_Prod!Z10)</f>
        <v>25.4312759220773</v>
      </c>
      <c r="AA11" s="159" t="n">
        <f aca="false">IF(ISNUMBER(Theory_Rev_Prod!AA10),Theory_Rev_Prod!AA10*INDEX(B4_EffRef,1,1)/1000000000,Theory_Rev_Prod!AA10)</f>
        <v>25.4312759220773</v>
      </c>
      <c r="AB11" s="159" t="n">
        <f aca="false">IF(ISNUMBER(Theory_Rev_Prod!AB10),Theory_Rev_Prod!AB10*INDEX(B4_EffRef,1,1)/1000000000,Theory_Rev_Prod!AB10)</f>
        <v>37.2582226398973</v>
      </c>
      <c r="AC11" s="159" t="n">
        <f aca="false">IF(ISNUMBER(Theory_Rev_Prod!AC10),Theory_Rev_Prod!AC10*INDEX(B4_EffRef,1,1)/1000000000,Theory_Rev_Prod!AC10)</f>
        <v>37.2582226398973</v>
      </c>
      <c r="AD11" s="159" t="n">
        <f aca="false">IF(ISNUMBER(Theory_Rev_Prod!AD10),Theory_Rev_Prod!AD10*INDEX(B4_EffRef,1,1)/1000000000,Theory_Rev_Prod!AD10)</f>
        <v>37.2582226398973</v>
      </c>
      <c r="AE11" s="159" t="n">
        <f aca="false">IF(ISNUMBER(Theory_Rev_Prod!AE10),Theory_Rev_Prod!AE10*INDEX(B4_EffRef,1,1)/1000000000,Theory_Rev_Prod!AE10)</f>
        <v>50.3527379522069</v>
      </c>
      <c r="AF11" s="159" t="n">
        <f aca="false">IF(ISNUMBER(Theory_Rev_Prod!AF10),Theory_Rev_Prod!AF10*INDEX(B4_EffRef,1,1)/1000000000,Theory_Rev_Prod!AF10)</f>
        <v>50.3527379522069</v>
      </c>
      <c r="AG11" s="159" t="n">
        <f aca="false">IF(ISNUMBER(Theory_Rev_Prod!AG10),Theory_Rev_Prod!AG10*INDEX(B4_EffRef,1,1)/1000000000,Theory_Rev_Prod!AG10)</f>
        <v>50.3527379522069</v>
      </c>
    </row>
    <row r="17" customFormat="false" ht="15" hidden="false" customHeight="false" outlineLevel="0" collapsed="false">
      <c r="A17" s="58" t="s">
        <v>1802</v>
      </c>
      <c r="B17" s="56" t="s">
        <v>795</v>
      </c>
      <c r="C17" s="155" t="n">
        <f aca="false">Amortize_Prod!C14</f>
        <v>0.185897057978832</v>
      </c>
      <c r="D17" s="155" t="n">
        <f aca="false">Amortize_Prod!D14</f>
        <v>0.265605066614536</v>
      </c>
      <c r="E17" s="155" t="n">
        <f aca="false">Amortize_Prod!E14</f>
        <v>0.456133819952971</v>
      </c>
      <c r="F17" s="155" t="n">
        <f aca="false">Amortize_Prod!F14</f>
        <v>0.0338189655046863</v>
      </c>
      <c r="G17" s="155" t="n">
        <f aca="false">Amortize_Prod!G14</f>
        <v>0.0451518018428237</v>
      </c>
      <c r="H17" s="155" t="n">
        <f aca="false">Amortize_Prod!H14</f>
        <v>0.0732258559951609</v>
      </c>
      <c r="I17" s="155" t="n">
        <f aca="false">Amortize_Prod!I14</f>
        <v>0.0296187586934242</v>
      </c>
      <c r="J17" s="155" t="n">
        <f aca="false">Amortize_Prod!J14</f>
        <v>0.0382511826386745</v>
      </c>
      <c r="K17" s="155" t="n">
        <f aca="false">Amortize_Prod!K14</f>
        <v>0.0651168930985114</v>
      </c>
      <c r="L17" s="155" t="n">
        <f aca="false">Amortize_Prod!L14</f>
        <v>0.022487341757189</v>
      </c>
      <c r="M17" s="155" t="n">
        <f aca="false">Amortize_Prod!M14</f>
        <v>0.0288989412468376</v>
      </c>
      <c r="N17" s="155" t="n">
        <f aca="false">Amortize_Prod!N14</f>
        <v>0.0466804667985899</v>
      </c>
      <c r="O17" s="155" t="n">
        <f aca="false">Amortize_Prod!O14</f>
        <v>0.0176242505638179</v>
      </c>
      <c r="P17" s="155" t="n">
        <f aca="false">Amortize_Prod!P14</f>
        <v>0.0267808129187387</v>
      </c>
      <c r="Q17" s="155" t="n">
        <f aca="false">Amortize_Prod!Q14</f>
        <v>0.0488805421237386</v>
      </c>
      <c r="S17" s="155" t="n">
        <f aca="false">Amortize_Prod!S14</f>
        <v>0.12131988200181</v>
      </c>
      <c r="T17" s="155" t="n">
        <f aca="false">Amortize_Prod!T14</f>
        <v>0.173337199275656</v>
      </c>
      <c r="U17" s="155" t="n">
        <f aca="false">Amortize_Prod!U14</f>
        <v>0.297675954964459</v>
      </c>
      <c r="V17" s="155" t="n">
        <f aca="false">Amortize_Prod!V14</f>
        <v>0.0260936867672857</v>
      </c>
      <c r="W17" s="155" t="n">
        <f aca="false">Amortize_Prod!W14</f>
        <v>0.0348369296673268</v>
      </c>
      <c r="X17" s="155" t="n">
        <f aca="false">Amortize_Prod!X14</f>
        <v>0.0564959625271565</v>
      </c>
      <c r="Y17" s="155" t="n">
        <f aca="false">Amortize_Prod!Y14</f>
        <v>0.0228541941694006</v>
      </c>
      <c r="Z17" s="155" t="n">
        <f aca="false">Amortize_Prod!Z14</f>
        <v>0.0295143560848238</v>
      </c>
      <c r="AA17" s="155" t="n">
        <f aca="false">Amortize_Prod!AA14</f>
        <v>0.0502420199217979</v>
      </c>
      <c r="AB17" s="155" t="n">
        <f aca="false">Amortize_Prod!AB14</f>
        <v>0.0174796823282432</v>
      </c>
      <c r="AC17" s="155" t="n">
        <f aca="false">Amortize_Prod!AC14</f>
        <v>0.0224628079319604</v>
      </c>
      <c r="AD17" s="155" t="n">
        <f aca="false">Amortize_Prod!AD14</f>
        <v>0.0362826941230965</v>
      </c>
      <c r="AE17" s="155" t="n">
        <f aca="false">Amortize_Prod!AE14</f>
        <v>0.0137286838275377</v>
      </c>
      <c r="AF17" s="155" t="n">
        <f aca="false">Amortize_Prod!AF14</f>
        <v>0.020860085624086</v>
      </c>
      <c r="AG17" s="155" t="n">
        <f aca="false">Amortize_Prod!AG14</f>
        <v>0.0380720088816252</v>
      </c>
    </row>
    <row r="18" customFormat="false" ht="15" hidden="false" customHeight="false" outlineLevel="0" collapsed="false">
      <c r="A18" s="58" t="s">
        <v>1803</v>
      </c>
      <c r="B18" s="56" t="s">
        <v>795</v>
      </c>
      <c r="C18" s="156" t="n">
        <f aca="false">IF(AND(ISNUMBER(Theory_Rev_Prod!C17),ISNUMBER(Amortize_Prod!C13)),Theory_Rev_Prod!C17+Amortize_Prod!C13,"SLO 不可達")</f>
        <v>0.322297691135277</v>
      </c>
      <c r="D18" s="156" t="n">
        <f aca="false">IF(AND(ISNUMBER(Theory_Rev_Prod!D17),ISNUMBER(Amortize_Prod!D13)),Theory_Rev_Prod!D17+Amortize_Prod!D13,"SLO 不可達")</f>
        <v>0.460494287683855</v>
      </c>
      <c r="E18" s="156" t="n">
        <f aca="false">IF(AND(ISNUMBER(Theory_Rev_Prod!E17),ISNUMBER(Amortize_Prod!E13)),Theory_Rev_Prod!E17+Amortize_Prod!E13,"SLO 不可達")</f>
        <v>0.790830294149093</v>
      </c>
      <c r="F18" s="156" t="n">
        <f aca="false">IF(AND(ISNUMBER(Theory_Rev_Prod!F17),ISNUMBER(Amortize_Prod!F13)),Theory_Rev_Prod!F17+Amortize_Prod!F13,"SLO 不可達")</f>
        <v>0.0426305550116953</v>
      </c>
      <c r="G18" s="156" t="n">
        <f aca="false">IF(AND(ISNUMBER(Theory_Rev_Prod!G17),ISNUMBER(Amortize_Prod!G13)),Theory_Rev_Prod!G17+Amortize_Prod!G13,"SLO 不可達")</f>
        <v>0.0569171274080642</v>
      </c>
      <c r="H18" s="156" t="n">
        <f aca="false">IF(AND(ISNUMBER(Theory_Rev_Prod!H17),ISNUMBER(Amortize_Prod!H13)),Theory_Rev_Prod!H17+Amortize_Prod!H13,"SLO 不可達")</f>
        <v>0.0923082682610577</v>
      </c>
      <c r="I18" s="156" t="n">
        <f aca="false">IF(AND(ISNUMBER(Theory_Rev_Prod!I17),ISNUMBER(Amortize_Prod!I13)),Theory_Rev_Prod!I17+Amortize_Prod!I13,"SLO 不可達")</f>
        <v>0.0373376366713278</v>
      </c>
      <c r="J18" s="156" t="n">
        <f aca="false">IF(AND(ISNUMBER(Theory_Rev_Prod!J17),ISNUMBER(Amortize_Prod!J13)),Theory_Rev_Prod!J17+Amortize_Prod!J13,"SLO 不可達")</f>
        <v>0.0482205602451384</v>
      </c>
      <c r="K18" s="156" t="n">
        <f aca="false">IF(AND(ISNUMBER(Theory_Rev_Prod!K17),ISNUMBER(Amortize_Prod!K13)),Theory_Rev_Prod!K17+Amortize_Prod!K13,"SLO 不可達")</f>
        <v>0.0820902445360032</v>
      </c>
      <c r="L18" s="156" t="n">
        <f aca="false">IF(AND(ISNUMBER(Theory_Rev_Prod!L17),ISNUMBER(Amortize_Prod!L13)),Theory_Rev_Prod!L17+Amortize_Prod!L13,"SLO 不可達")</f>
        <v>0.0254639568319906</v>
      </c>
      <c r="M18" s="156" t="n">
        <f aca="false">IF(AND(ISNUMBER(Theory_Rev_Prod!M17),ISNUMBER(Amortize_Prod!M13)),Theory_Rev_Prod!M17+Amortize_Prod!M13,"SLO 不可達")</f>
        <v>0.0327246589739174</v>
      </c>
      <c r="N18" s="156" t="n">
        <f aca="false">IF(AND(ISNUMBER(Theory_Rev_Prod!N17),ISNUMBER(Amortize_Prod!N13)),Theory_Rev_Prod!N17+Amortize_Prod!N13,"SLO 不可達")</f>
        <v>0.0528610322562433</v>
      </c>
      <c r="O18" s="156" t="n">
        <f aca="false">IF(AND(ISNUMBER(Theory_Rev_Prod!O17),ISNUMBER(Amortize_Prod!O13)),Theory_Rev_Prod!O17+Amortize_Prod!O13,"SLO 不可達")</f>
        <v>0.019039987341036</v>
      </c>
      <c r="P18" s="156" t="n">
        <f aca="false">IF(AND(ISNUMBER(Theory_Rev_Prod!P17),ISNUMBER(Amortize_Prod!P13)),Theory_Rev_Prod!P17+Amortize_Prod!P13,"SLO 不可達")</f>
        <v>0.028932538699959</v>
      </c>
      <c r="Q18" s="156" t="n">
        <f aca="false">IF(AND(ISNUMBER(Theory_Rev_Prod!Q17),ISNUMBER(Amortize_Prod!Q13)),Theory_Rev_Prod!Q17+Amortize_Prod!Q13,"SLO 不可達")</f>
        <v>0.052808606781477</v>
      </c>
      <c r="S18" s="156" t="n">
        <f aca="false">IF(AND(ISNUMBER(Theory_Rev_Prod!S17),ISNUMBER(Amortize_Prod!S13)),Theory_Rev_Prod!S17+Amortize_Prod!S13,"SLO 不可達")</f>
        <v>0.188914233420327</v>
      </c>
      <c r="T18" s="156" t="n">
        <f aca="false">IF(AND(ISNUMBER(Theory_Rev_Prod!T17),ISNUMBER(Amortize_Prod!T13)),Theory_Rev_Prod!T17+Amortize_Prod!T13,"SLO 不可達")</f>
        <v>0.269916006806052</v>
      </c>
      <c r="U18" s="156" t="n">
        <f aca="false">IF(AND(ISNUMBER(Theory_Rev_Prod!U17),ISNUMBER(Amortize_Prod!U13)),Theory_Rev_Prod!U17+Amortize_Prod!U13,"SLO 不可達")</f>
        <v>0.463537289855792</v>
      </c>
      <c r="V18" s="156" t="n">
        <f aca="false">IF(AND(ISNUMBER(Theory_Rev_Prod!V17),ISNUMBER(Amortize_Prod!V13)),Theory_Rev_Prod!V17+Amortize_Prod!V13,"SLO 不可達")</f>
        <v>0.0321744990795468</v>
      </c>
      <c r="W18" s="156" t="n">
        <f aca="false">IF(AND(ISNUMBER(Theory_Rev_Prod!W17),ISNUMBER(Amortize_Prod!W13)),Theory_Rev_Prod!W17+Amortize_Prod!W13,"SLO 不可達")</f>
        <v>0.0429560932413866</v>
      </c>
      <c r="X18" s="156" t="n">
        <f aca="false">IF(AND(ISNUMBER(Theory_Rev_Prod!X17),ISNUMBER(Amortize_Prod!X13)),Theory_Rev_Prod!X17+Amortize_Prod!X13,"SLO 不可達")</f>
        <v>0.0696645931541063</v>
      </c>
      <c r="Y18" s="156" t="n">
        <f aca="false">IF(AND(ISNUMBER(Theory_Rev_Prod!Y17),ISNUMBER(Amortize_Prod!Y13)),Theory_Rev_Prod!Y17+Amortize_Prod!Y13,"SLO 不可達")</f>
        <v>0.0280907361641086</v>
      </c>
      <c r="Z18" s="156" t="n">
        <f aca="false">IF(AND(ISNUMBER(Theory_Rev_Prod!Z17),ISNUMBER(Amortize_Prod!Z13)),Theory_Rev_Prod!Z17+Amortize_Prod!Z13,"SLO 不可達")</f>
        <v>0.0362776531141064</v>
      </c>
      <c r="AA18" s="156" t="n">
        <f aca="false">IF(AND(ISNUMBER(Theory_Rev_Prod!AA17),ISNUMBER(Amortize_Prod!AA13)),Theory_Rev_Prod!AA17+Amortize_Prod!AA13,"SLO 不可達")</f>
        <v>0.0617568628624171</v>
      </c>
      <c r="AB18" s="156" t="n">
        <f aca="false">IF(AND(ISNUMBER(Theory_Rev_Prod!AB17),ISNUMBER(Amortize_Prod!AB13)),Theory_Rev_Prod!AB17+Amortize_Prod!AB13,"SLO 不可達")</f>
        <v>0.019589084248297</v>
      </c>
      <c r="AC18" s="156" t="n">
        <f aca="false">IF(AND(ISNUMBER(Theory_Rev_Prod!AC17),ISNUMBER(Amortize_Prod!AC13)),Theory_Rev_Prod!AC17+Amortize_Prod!AC13,"SLO 不可達")</f>
        <v>0.0251739331921266</v>
      </c>
      <c r="AD18" s="156" t="n">
        <f aca="false">IF(AND(ISNUMBER(Theory_Rev_Prod!AD17),ISNUMBER(Amortize_Prod!AD13)),Theory_Rev_Prod!AD17+Amortize_Prod!AD13,"SLO 不可達")</f>
        <v>0.0406626009352869</v>
      </c>
      <c r="AE18" s="156" t="n">
        <f aca="false">IF(AND(ISNUMBER(Theory_Rev_Prod!AE17),ISNUMBER(Amortize_Prod!AE13)),Theory_Rev_Prod!AE17+Amortize_Prod!AE13,"SLO 不可達")</f>
        <v>0.0147563579921895</v>
      </c>
      <c r="AF18" s="156" t="n">
        <f aca="false">IF(AND(ISNUMBER(Theory_Rev_Prod!AF17),ISNUMBER(Amortize_Prod!AF13)),Theory_Rev_Prod!AF17+Amortize_Prod!AF13,"SLO 不可達")</f>
        <v>0.0224220094437953</v>
      </c>
      <c r="AG18" s="156" t="n">
        <f aca="false">IF(AND(ISNUMBER(Theory_Rev_Prod!AG17),ISNUMBER(Amortize_Prod!AG13)),Theory_Rev_Prod!AG17+Amortize_Prod!AG13,"SLO 不可達")</f>
        <v>0.0409233655962342</v>
      </c>
    </row>
    <row r="28" customFormat="false" ht="15" hidden="false" customHeight="false" outlineLevel="0" collapsed="false">
      <c r="A28" s="58" t="s">
        <v>1794</v>
      </c>
      <c r="B28" s="56" t="s">
        <v>2321</v>
      </c>
      <c r="C28" s="60" t="n">
        <f aca="false">IF(ISNUMBER(INDEX(Interface_Prod!$C$31:$Q$31,1,Theory_Rev!C$7)),INDEX(Interface_Prod!$C$31:$Q$31,1,Theory_Rev!C$7)*IF_Util,INDEX(Interface_Prod!$C$31:$Q$31,1,Theory_Rev!C$7))</f>
        <v>9416708844.02835</v>
      </c>
      <c r="D28" s="60" t="n">
        <f aca="false">IF(ISNUMBER(INDEX(Interface_Prod!$C$31:$Q$31,1,Theory_Rev!D$7)),INDEX(Interface_Prod!$C$31:$Q$31,1,Theory_Rev!D$7)*IF_Util,INDEX(Interface_Prod!$C$31:$Q$31,1,Theory_Rev!D$7))</f>
        <v>9416708844.02835</v>
      </c>
      <c r="E28" s="60" t="n">
        <f aca="false">IF(ISNUMBER(INDEX(Interface_Prod!$C$31:$Q$31,1,Theory_Rev!E$7)),INDEX(Interface_Prod!$C$31:$Q$31,1,Theory_Rev!E$7)*IF_Util,INDEX(Interface_Prod!$C$31:$Q$31,1,Theory_Rev!E$7))</f>
        <v>9416708844.02835</v>
      </c>
      <c r="F28" s="60" t="n">
        <f aca="false">IF(ISNUMBER(INDEX(Interface_Prod!$C$31:$Q$31,1,Theory_Rev!F$7)),INDEX(Interface_Prod!$C$31:$Q$31,1,Theory_Rev!F$7)*IF_Util,INDEX(Interface_Prod!$C$31:$Q$31,1,Theory_Rev!F$7))</f>
        <v>49873311614.5235</v>
      </c>
      <c r="G28" s="60" t="n">
        <f aca="false">IF(ISNUMBER(INDEX(Interface_Prod!$C$31:$Q$31,1,Theory_Rev!G$7)),INDEX(Interface_Prod!$C$31:$Q$31,1,Theory_Rev!G$7)*IF_Util,INDEX(Interface_Prod!$C$31:$Q$31,1,Theory_Rev!G$7))</f>
        <v>49873311614.5235</v>
      </c>
      <c r="H28" s="60" t="n">
        <f aca="false">IF(ISNUMBER(INDEX(Interface_Prod!$C$31:$Q$31,1,Theory_Rev!H$7)),INDEX(Interface_Prod!$C$31:$Q$31,1,Theory_Rev!H$7)*IF_Util,INDEX(Interface_Prod!$C$31:$Q$31,1,Theory_Rev!H$7))</f>
        <v>49873311614.5235</v>
      </c>
      <c r="I28" s="60" t="n">
        <f aca="false">IF(ISNUMBER(INDEX(Interface_Prod!$C$31:$Q$31,1,Theory_Rev!I$7)),INDEX(Interface_Prod!$C$31:$Q$31,1,Theory_Rev!I$7)*IF_Util,INDEX(Interface_Prod!$C$31:$Q$31,1,Theory_Rev!I$7))</f>
        <v>72609358536.5125</v>
      </c>
      <c r="J28" s="60" t="n">
        <f aca="false">IF(ISNUMBER(INDEX(Interface_Prod!$C$31:$Q$31,1,Theory_Rev!J$7)),INDEX(Interface_Prod!$C$31:$Q$31,1,Theory_Rev!J$7)*IF_Util,INDEX(Interface_Prod!$C$31:$Q$31,1,Theory_Rev!J$7))</f>
        <v>72609358536.5125</v>
      </c>
      <c r="K28" s="60" t="n">
        <f aca="false">IF(ISNUMBER(INDEX(Interface_Prod!$C$31:$Q$31,1,Theory_Rev!K$7)),INDEX(Interface_Prod!$C$31:$Q$31,1,Theory_Rev!K$7)*IF_Util,INDEX(Interface_Prod!$C$31:$Q$31,1,Theory_Rev!K$7))</f>
        <v>72609358536.5125</v>
      </c>
      <c r="L28" s="60" t="n">
        <f aca="false">IF(ISNUMBER(INDEX(Interface_Prod!$C$31:$Q$31,1,Theory_Rev!L$7)),INDEX(Interface_Prod!$C$31:$Q$31,1,Theory_Rev!L$7)*IF_Util,INDEX(Interface_Prod!$C$31:$Q$31,1,Theory_Rev!L$7))</f>
        <v>114986431721.293</v>
      </c>
      <c r="M28" s="60" t="n">
        <f aca="false">IF(ISNUMBER(INDEX(Interface_Prod!$C$31:$Q$31,1,Theory_Rev!M$7)),INDEX(Interface_Prod!$C$31:$Q$31,1,Theory_Rev!M$7)*IF_Util,INDEX(Interface_Prod!$C$31:$Q$31,1,Theory_Rev!M$7))</f>
        <v>114986431721.293</v>
      </c>
      <c r="N28" s="60" t="n">
        <f aca="false">IF(ISNUMBER(INDEX(Interface_Prod!$C$31:$Q$31,1,Theory_Rev!N$7)),INDEX(Interface_Prod!$C$31:$Q$31,1,Theory_Rev!N$7)*IF_Util,INDEX(Interface_Prod!$C$31:$Q$31,1,Theory_Rev!N$7))</f>
        <v>114986431721.293</v>
      </c>
      <c r="O28" s="60" t="n">
        <f aca="false">IF(ISNUMBER(INDEX(Interface_Prod!$C$31:$Q$31,1,Theory_Rev!O$7)),INDEX(Interface_Prod!$C$31:$Q$31,1,Theory_Rev!O$7)*IF_Util,INDEX(Interface_Prod!$C$31:$Q$31,1,Theory_Rev!O$7))</f>
        <v>158498904523.277</v>
      </c>
      <c r="P28" s="60" t="n">
        <f aca="false">IF(ISNUMBER(INDEX(Interface_Prod!$C$31:$Q$31,1,Theory_Rev!P$7)),INDEX(Interface_Prod!$C$31:$Q$31,1,Theory_Rev!P$7)*IF_Util,INDEX(Interface_Prod!$C$31:$Q$31,1,Theory_Rev!P$7))</f>
        <v>158498904523.277</v>
      </c>
      <c r="Q28" s="60" t="n">
        <f aca="false">IF(ISNUMBER(INDEX(Interface_Prod!$C$31:$Q$31,1,Theory_Rev!Q$7)),INDEX(Interface_Prod!$C$31:$Q$31,1,Theory_Rev!Q$7)*IF_Util,INDEX(Interface_Prod!$C$31:$Q$31,1,Theory_Rev!Q$7))</f>
        <v>158498904523.277</v>
      </c>
      <c r="S28" s="60" t="n">
        <f aca="false">IF(ISNUMBER(INDEX(Interface_Prod!$S$31:$AG$31,1,Theory_Rev!C$7)),INDEX(Interface_Prod!$S$31:$AG$31,1,Theory_Rev!C$7)*IF_Util,INDEX(Interface_Prod!$S$31:$AG$31,1,Theory_Rev!C$7))</f>
        <v>12894257811.2541</v>
      </c>
      <c r="T28" s="60" t="n">
        <f aca="false">IF(ISNUMBER(INDEX(Interface_Prod!$S$31:$AG$31,1,Theory_Rev!D$7)),INDEX(Interface_Prod!$S$31:$AG$31,1,Theory_Rev!D$7)*IF_Util,INDEX(Interface_Prod!$S$31:$AG$31,1,Theory_Rev!D$7))</f>
        <v>12894257811.2541</v>
      </c>
      <c r="U28" s="60" t="n">
        <f aca="false">IF(ISNUMBER(INDEX(Interface_Prod!$S$31:$AG$31,1,Theory_Rev!E$7)),INDEX(Interface_Prod!$S$31:$AG$31,1,Theory_Rev!E$7)*IF_Util,INDEX(Interface_Prod!$S$31:$AG$31,1,Theory_Rev!E$7))</f>
        <v>12894257811.2541</v>
      </c>
      <c r="V28" s="60" t="n">
        <f aca="false">IF(ISNUMBER(INDEX(Interface_Prod!$S$31:$AG$31,1,Theory_Rev!F$7)),INDEX(Interface_Prod!$S$31:$AG$31,1,Theory_Rev!F$7)*IF_Util,INDEX(Interface_Prod!$S$31:$AG$31,1,Theory_Rev!F$7))</f>
        <v>62475240648.4001</v>
      </c>
      <c r="W28" s="60" t="n">
        <f aca="false">IF(ISNUMBER(INDEX(Interface_Prod!$S$31:$AG$31,1,Theory_Rev!G$7)),INDEX(Interface_Prod!$S$31:$AG$31,1,Theory_Rev!G$7)*IF_Util,INDEX(Interface_Prod!$S$31:$AG$31,1,Theory_Rev!G$7))</f>
        <v>62475240648.4001</v>
      </c>
      <c r="X28" s="60" t="n">
        <f aca="false">IF(ISNUMBER(INDEX(Interface_Prod!$S$31:$AG$31,1,Theory_Rev!H$7)),INDEX(Interface_Prod!$S$31:$AG$31,1,Theory_Rev!H$7)*IF_Util,INDEX(Interface_Prod!$S$31:$AG$31,1,Theory_Rev!H$7))</f>
        <v>62475240648.4001</v>
      </c>
      <c r="Y28" s="60" t="n">
        <f aca="false">IF(ISNUMBER(INDEX(Interface_Prod!$S$31:$AG$31,1,Theory_Rev!I$7)),INDEX(Interface_Prod!$S$31:$AG$31,1,Theory_Rev!I$7)*IF_Util,INDEX(Interface_Prod!$S$31:$AG$31,1,Theory_Rev!I$7))</f>
        <v>90956204852.7288</v>
      </c>
      <c r="Z28" s="60" t="n">
        <f aca="false">IF(ISNUMBER(INDEX(Interface_Prod!$S$31:$AG$31,1,Theory_Rev!J$7)),INDEX(Interface_Prod!$S$31:$AG$31,1,Theory_Rev!J$7)*IF_Util,INDEX(Interface_Prod!$S$31:$AG$31,1,Theory_Rev!J$7))</f>
        <v>90956204852.7288</v>
      </c>
      <c r="AA28" s="60" t="n">
        <f aca="false">IF(ISNUMBER(INDEX(Interface_Prod!$S$31:$AG$31,1,Theory_Rev!K$7)),INDEX(Interface_Prod!$S$31:$AG$31,1,Theory_Rev!K$7)*IF_Util,INDEX(Interface_Prod!$S$31:$AG$31,1,Theory_Rev!K$7))</f>
        <v>90956204852.7288</v>
      </c>
      <c r="AB28" s="60" t="n">
        <f aca="false">IF(ISNUMBER(INDEX(Interface_Prod!$S$31:$AG$31,1,Theory_Rev!L$7)),INDEX(Interface_Prod!$S$31:$AG$31,1,Theory_Rev!L$7)*IF_Util,INDEX(Interface_Prod!$S$31:$AG$31,1,Theory_Rev!L$7))</f>
        <v>142372403240.994</v>
      </c>
      <c r="AC28" s="60" t="n">
        <f aca="false">IF(ISNUMBER(INDEX(Interface_Prod!$S$31:$AG$31,1,Theory_Rev!M$7)),INDEX(Interface_Prod!$S$31:$AG$31,1,Theory_Rev!M$7)*IF_Util,INDEX(Interface_Prod!$S$31:$AG$31,1,Theory_Rev!M$7))</f>
        <v>142372403240.994</v>
      </c>
      <c r="AD28" s="60" t="n">
        <f aca="false">IF(ISNUMBER(INDEX(Interface_Prod!$S$31:$AG$31,1,Theory_Rev!N$7)),INDEX(Interface_Prod!$S$31:$AG$31,1,Theory_Rev!N$7)*IF_Util,INDEX(Interface_Prod!$S$31:$AG$31,1,Theory_Rev!N$7))</f>
        <v>142372403240.994</v>
      </c>
      <c r="AE28" s="60" t="n">
        <f aca="false">IF(ISNUMBER(INDEX(Interface_Prod!$S$31:$AG$31,1,Theory_Rev!O$7)),INDEX(Interface_Prod!$S$31:$AG$31,1,Theory_Rev!O$7)*IF_Util,INDEX(Interface_Prod!$S$31:$AG$31,1,Theory_Rev!O$7))</f>
        <v>195711402313.41</v>
      </c>
      <c r="AF28" s="60" t="n">
        <f aca="false">IF(ISNUMBER(INDEX(Interface_Prod!$S$31:$AG$31,1,Theory_Rev!P$7)),INDEX(Interface_Prod!$S$31:$AG$31,1,Theory_Rev!P$7)*IF_Util,INDEX(Interface_Prod!$S$31:$AG$31,1,Theory_Rev!P$7))</f>
        <v>195711402313.41</v>
      </c>
      <c r="AG28" s="60" t="n">
        <f aca="false">IF(ISNUMBER(INDEX(Interface_Prod!$S$31:$AG$31,1,Theory_Rev!Q$7)),INDEX(Interface_Prod!$S$31:$AG$31,1,Theory_Rev!Q$7)*IF_Util,INDEX(Interface_Prod!$S$31:$AG$31,1,Theory_Rev!Q$7))</f>
        <v>195711402313.41</v>
      </c>
    </row>
    <row r="29" customFormat="false" ht="15" hidden="false" customHeight="false" outlineLevel="0" collapsed="false">
      <c r="A29" s="58" t="s">
        <v>1812</v>
      </c>
      <c r="B29" s="56" t="s">
        <v>2348</v>
      </c>
      <c r="C29" s="159" t="n">
        <f aca="false">IF(ISNUMBER(Theory_Rev_Prod!C28),Theory_Rev_Prod!C28*INDEX(B4_EffRef,1,2)/1000000000,Theory_Rev_Prod!C28)</f>
        <v>15.1336974133362</v>
      </c>
      <c r="D29" s="159" t="n">
        <f aca="false">IF(ISNUMBER(Theory_Rev_Prod!D28),Theory_Rev_Prod!D28*INDEX(B4_EffRef,1,2)/1000000000,Theory_Rev_Prod!D28)</f>
        <v>15.1336974133362</v>
      </c>
      <c r="E29" s="159" t="n">
        <f aca="false">IF(ISNUMBER(Theory_Rev_Prod!E28),Theory_Rev_Prod!E28*INDEX(B4_EffRef,1,2)/1000000000,Theory_Rev_Prod!E28)</f>
        <v>15.1336974133362</v>
      </c>
      <c r="F29" s="159" t="n">
        <f aca="false">IF(ISNUMBER(Theory_Rev_Prod!F28),Theory_Rev_Prod!F28*INDEX(B4_EffRef,1,2)/1000000000,Theory_Rev_Prod!F28)</f>
        <v>80.1519532436076</v>
      </c>
      <c r="G29" s="159" t="n">
        <f aca="false">IF(ISNUMBER(Theory_Rev_Prod!G28),Theory_Rev_Prod!G28*INDEX(B4_EffRef,1,2)/1000000000,Theory_Rev_Prod!G28)</f>
        <v>80.1519532436076</v>
      </c>
      <c r="H29" s="159" t="n">
        <f aca="false">IF(ISNUMBER(Theory_Rev_Prod!H28),Theory_Rev_Prod!H28*INDEX(B4_EffRef,1,2)/1000000000,Theory_Rev_Prod!H28)</f>
        <v>80.1519532436076</v>
      </c>
      <c r="I29" s="159" t="n">
        <f aca="false">IF(ISNUMBER(Theory_Rev_Prod!I28),Theory_Rev_Prod!I28*INDEX(B4_EffRef,1,2)/1000000000,Theory_Rev_Prod!I28)</f>
        <v>116.69130687468</v>
      </c>
      <c r="J29" s="159" t="n">
        <f aca="false">IF(ISNUMBER(Theory_Rev_Prod!J28),Theory_Rev_Prod!J28*INDEX(B4_EffRef,1,2)/1000000000,Theory_Rev_Prod!J28)</f>
        <v>116.69130687468</v>
      </c>
      <c r="K29" s="159" t="n">
        <f aca="false">IF(ISNUMBER(Theory_Rev_Prod!K28),Theory_Rev_Prod!K28*INDEX(B4_EffRef,1,2)/1000000000,Theory_Rev_Prod!K28)</f>
        <v>116.69130687468</v>
      </c>
      <c r="L29" s="159" t="n">
        <f aca="false">IF(ISNUMBER(Theory_Rev_Prod!L28),Theory_Rev_Prod!L28*INDEX(B4_EffRef,1,2)/1000000000,Theory_Rev_Prod!L28)</f>
        <v>184.79597204631</v>
      </c>
      <c r="M29" s="159" t="n">
        <f aca="false">IF(ISNUMBER(Theory_Rev_Prod!M28),Theory_Rev_Prod!M28*INDEX(B4_EffRef,1,2)/1000000000,Theory_Rev_Prod!M28)</f>
        <v>184.79597204631</v>
      </c>
      <c r="N29" s="159" t="n">
        <f aca="false">IF(ISNUMBER(Theory_Rev_Prod!N28),Theory_Rev_Prod!N28*INDEX(B4_EffRef,1,2)/1000000000,Theory_Rev_Prod!N28)</f>
        <v>184.79597204631</v>
      </c>
      <c r="O29" s="159" t="n">
        <f aca="false">IF(ISNUMBER(Theory_Rev_Prod!O28),Theory_Rev_Prod!O28*INDEX(B4_EffRef,1,2)/1000000000,Theory_Rev_Prod!O28)</f>
        <v>254.725350558298</v>
      </c>
      <c r="P29" s="159" t="n">
        <f aca="false">IF(ISNUMBER(Theory_Rev_Prod!P28),Theory_Rev_Prod!P28*INDEX(B4_EffRef,1,2)/1000000000,Theory_Rev_Prod!P28)</f>
        <v>254.725350558298</v>
      </c>
      <c r="Q29" s="159" t="n">
        <f aca="false">IF(ISNUMBER(Theory_Rev_Prod!Q28),Theory_Rev_Prod!Q28*INDEX(B4_EffRef,1,2)/1000000000,Theory_Rev_Prod!Q28)</f>
        <v>254.725350558298</v>
      </c>
      <c r="S29" s="159" t="n">
        <f aca="false">IF(ISNUMBER(Theory_Rev_Prod!S28),Theory_Rev_Prod!S28*INDEX(B4_EffRef,1,2)/1000000000,Theory_Rev_Prod!S28)</f>
        <v>20.7225049979976</v>
      </c>
      <c r="T29" s="159" t="n">
        <f aca="false">IF(ISNUMBER(Theory_Rev_Prod!T28),Theory_Rev_Prod!T28*INDEX(B4_EffRef,1,2)/1000000000,Theory_Rev_Prod!T28)</f>
        <v>20.7225049979976</v>
      </c>
      <c r="U29" s="159" t="n">
        <f aca="false">IF(ISNUMBER(Theory_Rev_Prod!U28),Theory_Rev_Prod!U28*INDEX(B4_EffRef,1,2)/1000000000,Theory_Rev_Prod!U28)</f>
        <v>20.7225049979976</v>
      </c>
      <c r="V29" s="159" t="n">
        <f aca="false">IF(ISNUMBER(Theory_Rev_Prod!V28),Theory_Rev_Prod!V28*INDEX(B4_EffRef,1,2)/1000000000,Theory_Rev_Prod!V28)</f>
        <v>100.404653415384</v>
      </c>
      <c r="W29" s="159" t="n">
        <f aca="false">IF(ISNUMBER(Theory_Rev_Prod!W28),Theory_Rev_Prod!W28*INDEX(B4_EffRef,1,2)/1000000000,Theory_Rev_Prod!W28)</f>
        <v>100.404653415384</v>
      </c>
      <c r="X29" s="159" t="n">
        <f aca="false">IF(ISNUMBER(Theory_Rev_Prod!X28),Theory_Rev_Prod!X28*INDEX(B4_EffRef,1,2)/1000000000,Theory_Rev_Prod!X28)</f>
        <v>100.404653415384</v>
      </c>
      <c r="Y29" s="159" t="n">
        <f aca="false">IF(ISNUMBER(Theory_Rev_Prod!Y28),Theory_Rev_Prod!Y28*INDEX(B4_EffRef,1,2)/1000000000,Theory_Rev_Prod!Y28)</f>
        <v>146.176727443319</v>
      </c>
      <c r="Z29" s="159" t="n">
        <f aca="false">IF(ISNUMBER(Theory_Rev_Prod!Z28),Theory_Rev_Prod!Z28*INDEX(B4_EffRef,1,2)/1000000000,Theory_Rev_Prod!Z28)</f>
        <v>146.176727443319</v>
      </c>
      <c r="AA29" s="159" t="n">
        <f aca="false">IF(ISNUMBER(Theory_Rev_Prod!AA28),Theory_Rev_Prod!AA28*INDEX(B4_EffRef,1,2)/1000000000,Theory_Rev_Prod!AA28)</f>
        <v>146.176727443319</v>
      </c>
      <c r="AB29" s="159" t="n">
        <f aca="false">IF(ISNUMBER(Theory_Rev_Prod!AB28),Theory_Rev_Prod!AB28*INDEX(B4_EffRef,1,2)/1000000000,Theory_Rev_Prod!AB28)</f>
        <v>228.808271164193</v>
      </c>
      <c r="AC29" s="159" t="n">
        <f aca="false">IF(ISNUMBER(Theory_Rev_Prod!AC28),Theory_Rev_Prod!AC28*INDEX(B4_EffRef,1,2)/1000000000,Theory_Rev_Prod!AC28)</f>
        <v>228.808271164193</v>
      </c>
      <c r="AD29" s="159" t="n">
        <f aca="false">IF(ISNUMBER(Theory_Rev_Prod!AD28),Theory_Rev_Prod!AD28*INDEX(B4_EffRef,1,2)/1000000000,Theory_Rev_Prod!AD28)</f>
        <v>228.808271164193</v>
      </c>
      <c r="AE29" s="159" t="n">
        <f aca="false">IF(ISNUMBER(Theory_Rev_Prod!AE28),Theory_Rev_Prod!AE28*INDEX(B4_EffRef,1,2)/1000000000,Theory_Rev_Prod!AE28)</f>
        <v>314.529969229019</v>
      </c>
      <c r="AF29" s="159" t="n">
        <f aca="false">IF(ISNUMBER(Theory_Rev_Prod!AF28),Theory_Rev_Prod!AF28*INDEX(B4_EffRef,1,2)/1000000000,Theory_Rev_Prod!AF28)</f>
        <v>314.529969229019</v>
      </c>
      <c r="AG29" s="159" t="n">
        <f aca="false">IF(ISNUMBER(Theory_Rev_Prod!AG28),Theory_Rev_Prod!AG28*INDEX(B4_EffRef,1,2)/1000000000,Theory_Rev_Prod!AG28)</f>
        <v>314.529969229019</v>
      </c>
    </row>
    <row r="35" customFormat="false" ht="15" hidden="false" customHeight="false" outlineLevel="0" collapsed="false">
      <c r="A35" s="58" t="s">
        <v>1802</v>
      </c>
      <c r="B35" s="56" t="s">
        <v>795</v>
      </c>
      <c r="C35" s="155" t="n">
        <f aca="false">Amortize_Prod!C23</f>
        <v>0.592529378470979</v>
      </c>
      <c r="D35" s="155" t="n">
        <f aca="false">Amortize_Prod!D23</f>
        <v>0.846599371053822</v>
      </c>
      <c r="E35" s="155" t="n">
        <f aca="false">Amortize_Prod!E23</f>
        <v>1.45391148154395</v>
      </c>
      <c r="F35" s="155" t="n">
        <f aca="false">Amortize_Prod!F23</f>
        <v>0.114871399557638</v>
      </c>
      <c r="G35" s="155" t="n">
        <f aca="false">Amortize_Prod!G23</f>
        <v>0.153372331182364</v>
      </c>
      <c r="H35" s="155" t="n">
        <f aca="false">Amortize_Prod!H23</f>
        <v>0.248748034765995</v>
      </c>
      <c r="I35" s="155" t="n">
        <f aca="false">Amortize_Prod!I23</f>
        <v>0.100593835195458</v>
      </c>
      <c r="J35" s="155" t="n">
        <f aca="false">Amortize_Prod!J23</f>
        <v>0.129918279259559</v>
      </c>
      <c r="K35" s="155" t="n">
        <f aca="false">Amortize_Prod!K23</f>
        <v>0.221181408667757</v>
      </c>
      <c r="L35" s="155" t="n">
        <f aca="false">Amortize_Prod!L23</f>
        <v>0.0702382629306258</v>
      </c>
      <c r="M35" s="155" t="n">
        <f aca="false">Amortize_Prod!M23</f>
        <v>0.0902698913934871</v>
      </c>
      <c r="N35" s="155" t="n">
        <f aca="false">Amortize_Prod!N23</f>
        <v>0.145824346086211</v>
      </c>
      <c r="O35" s="155" t="n">
        <f aca="false">Amortize_Prod!O23</f>
        <v>0.0538369096431518</v>
      </c>
      <c r="P35" s="155" t="n">
        <f aca="false">Amortize_Prod!P23</f>
        <v>0.0818167320663129</v>
      </c>
      <c r="Q35" s="155" t="n">
        <f aca="false">Amortize_Prod!Q23</f>
        <v>0.149347151757448</v>
      </c>
      <c r="S35" s="155" t="n">
        <f aca="false">Amortize_Prod!S23</f>
        <v>0.417331151374463</v>
      </c>
      <c r="T35" s="155" t="n">
        <f aca="false">Amortize_Prod!T23</f>
        <v>0.596276148782533</v>
      </c>
      <c r="U35" s="155" t="n">
        <f aca="false">Amortize_Prod!U23</f>
        <v>1.02401443827026</v>
      </c>
      <c r="V35" s="155" t="n">
        <f aca="false">Amortize_Prod!V23</f>
        <v>0.0907896070390855</v>
      </c>
      <c r="W35" s="155" t="n">
        <f aca="false">Amortize_Prod!W23</f>
        <v>0.121218072413277</v>
      </c>
      <c r="X35" s="155" t="n">
        <f aca="false">Amortize_Prod!X23</f>
        <v>0.196596411886232</v>
      </c>
      <c r="Y35" s="155" t="n">
        <f aca="false">Amortize_Prod!Y23</f>
        <v>0.0795068498732029</v>
      </c>
      <c r="Z35" s="155" t="n">
        <f aca="false">Amortize_Prod!Z23</f>
        <v>0.102683217394179</v>
      </c>
      <c r="AA35" s="155" t="n">
        <f aca="false">Amortize_Prod!AA23</f>
        <v>0.17481238798153</v>
      </c>
      <c r="AB35" s="155" t="n">
        <f aca="false">Amortize_Prod!AB23</f>
        <v>0.0562061280073716</v>
      </c>
      <c r="AC35" s="155" t="n">
        <f aca="false">Amortize_Prod!AC23</f>
        <v>0.0722349806053506</v>
      </c>
      <c r="AD35" s="155" t="n">
        <f aca="false">Amortize_Prod!AD23</f>
        <v>0.116688389227706</v>
      </c>
      <c r="AE35" s="155" t="n">
        <f aca="false">Amortize_Prod!AE23</f>
        <v>0.0432131923940377</v>
      </c>
      <c r="AF35" s="155" t="n">
        <f aca="false">Amortize_Prod!AF23</f>
        <v>0.0656701385291775</v>
      </c>
      <c r="AG35" s="155" t="n">
        <f aca="false">Amortize_Prod!AG23</f>
        <v>0.11987087556573</v>
      </c>
    </row>
    <row r="36" customFormat="false" ht="15" hidden="false" customHeight="false" outlineLevel="0" collapsed="false">
      <c r="A36" s="58" t="s">
        <v>1814</v>
      </c>
      <c r="B36" s="56" t="s">
        <v>795</v>
      </c>
      <c r="C36" s="156" t="n">
        <f aca="false">IF(AND(ISNUMBER(Theory_Rev_Prod!C35),ISNUMBER(Amortize_Prod!C22)),Theory_Rev_Prod!C35+Amortize_Prod!C22,"SLO 不可達")</f>
        <v>0.929701855557194</v>
      </c>
      <c r="D36" s="156" t="n">
        <f aca="false">IF(AND(ISNUMBER(Theory_Rev_Prod!D35),ISNUMBER(Amortize_Prod!D22)),Theory_Rev_Prod!D35+Amortize_Prod!D22,"SLO 不可達")</f>
        <v>1.32835139745371</v>
      </c>
      <c r="E36" s="156" t="n">
        <f aca="false">IF(AND(ISNUMBER(Theory_Rev_Prod!E35),ISNUMBER(Amortize_Prod!E22)),Theory_Rev_Prod!E35+Amortize_Prod!E22,"SLO 不可達")</f>
        <v>2.28125690264104</v>
      </c>
      <c r="F36" s="156" t="n">
        <f aca="false">IF(AND(ISNUMBER(Theory_Rev_Prod!F35),ISNUMBER(Amortize_Prod!F22)),Theory_Rev_Prod!F35+Amortize_Prod!F22,"SLO 不可達")</f>
        <v>0.137559309558528</v>
      </c>
      <c r="G36" s="156" t="n">
        <f aca="false">IF(AND(ISNUMBER(Theory_Rev_Prod!G35),ISNUMBER(Amortize_Prod!G22)),Theory_Rev_Prod!G35+Amortize_Prod!G22,"SLO 不可達")</f>
        <v>0.1836654635784</v>
      </c>
      <c r="H36" s="156" t="n">
        <f aca="false">IF(AND(ISNUMBER(Theory_Rev_Prod!H35),ISNUMBER(Amortize_Prod!H22)),Theory_Rev_Prod!H35+Amortize_Prod!H22,"SLO 不可達")</f>
        <v>0.297881060282466</v>
      </c>
      <c r="I36" s="156" t="n">
        <f aca="false">IF(AND(ISNUMBER(Theory_Rev_Prod!I35),ISNUMBER(Amortize_Prod!I22)),Theory_Rev_Prod!I35+Amortize_Prod!I22,"SLO 不可達")</f>
        <v>0.121262378816956</v>
      </c>
      <c r="J36" s="156" t="n">
        <f aca="false">IF(AND(ISNUMBER(Theory_Rev_Prod!J35),ISNUMBER(Amortize_Prod!J22)),Theory_Rev_Prod!J35+Amortize_Prod!J22,"SLO 不可達")</f>
        <v>0.156612899452836</v>
      </c>
      <c r="K36" s="156" t="n">
        <f aca="false">IF(AND(ISNUMBER(Theory_Rev_Prod!K35),ISNUMBER(Amortize_Prod!K22)),Theory_Rev_Prod!K35+Amortize_Prod!K22,"SLO 不可達")</f>
        <v>0.266630301057697</v>
      </c>
      <c r="L36" s="156" t="n">
        <f aca="false">IF(AND(ISNUMBER(Theory_Rev_Prod!L35),ISNUMBER(Amortize_Prod!L22)),Theory_Rev_Prod!L35+Amortize_Prod!L22,"SLO 不可達")</f>
        <v>0.0777840752255203</v>
      </c>
      <c r="M36" s="156" t="n">
        <f aca="false">IF(AND(ISNUMBER(Theory_Rev_Prod!M35),ISNUMBER(Amortize_Prod!M22)),Theory_Rev_Prod!M35+Amortize_Prod!M22,"SLO 不可達")</f>
        <v>0.09996820546378</v>
      </c>
      <c r="N36" s="156" t="n">
        <f aca="false">IF(AND(ISNUMBER(Theory_Rev_Prod!N35),ISNUMBER(Amortize_Prod!N22)),Theory_Rev_Prod!N35+Amortize_Prod!N22,"SLO 不可達")</f>
        <v>0.161492272790798</v>
      </c>
      <c r="O36" s="156" t="n">
        <f aca="false">IF(AND(ISNUMBER(Theory_Rev_Prod!O35),ISNUMBER(Amortize_Prod!O22)),Theory_Rev_Prod!O35+Amortize_Prod!O22,"SLO 不可達")</f>
        <v>0.0575524804069272</v>
      </c>
      <c r="P36" s="156" t="n">
        <f aca="false">IF(AND(ISNUMBER(Theory_Rev_Prod!P35),ISNUMBER(Amortize_Prod!P22)),Theory_Rev_Prod!P35+Amortize_Prod!P22,"SLO 不可達")</f>
        <v>0.0874638901630846</v>
      </c>
      <c r="Q36" s="156" t="n">
        <f aca="false">IF(AND(ISNUMBER(Theory_Rev_Prod!Q35),ISNUMBER(Amortize_Prod!Q22)),Theory_Rev_Prod!Q35+Amortize_Prod!Q22,"SLO 不可達")</f>
        <v>0.159656273082383</v>
      </c>
      <c r="S36" s="156" t="n">
        <f aca="false">IF(AND(ISNUMBER(Theory_Rev_Prod!S35),ISNUMBER(Amortize_Prod!S22)),Theory_Rev_Prod!S35+Amortize_Prod!S22,"SLO 不可達")</f>
        <v>0.588341662425336</v>
      </c>
      <c r="T36" s="156" t="n">
        <f aca="false">IF(AND(ISNUMBER(Theory_Rev_Prod!T35),ISNUMBER(Amortize_Prod!T22)),Theory_Rev_Prod!T35+Amortize_Prod!T22,"SLO 不可達")</f>
        <v>0.840615962477861</v>
      </c>
      <c r="U36" s="156" t="n">
        <f aca="false">IF(AND(ISNUMBER(Theory_Rev_Prod!U35),ISNUMBER(Amortize_Prod!U22)),Theory_Rev_Prod!U35+Amortize_Prod!U22,"SLO 不可達")</f>
        <v>1.44363576827946</v>
      </c>
      <c r="V36" s="156" t="n">
        <f aca="false">IF(AND(ISNUMBER(Theory_Rev_Prod!V35),ISNUMBER(Amortize_Prod!V22)),Theory_Rev_Prod!V35+Amortize_Prod!V22,"SLO 不可達")</f>
        <v>0.10677898714576</v>
      </c>
      <c r="W36" s="156" t="n">
        <f aca="false">IF(AND(ISNUMBER(Theory_Rev_Prod!W35),ISNUMBER(Amortize_Prod!W22)),Theory_Rev_Prod!W35+Amortize_Prod!W22,"SLO 不可達")</f>
        <v>0.142567258322558</v>
      </c>
      <c r="X36" s="156" t="n">
        <f aca="false">IF(AND(ISNUMBER(Theory_Rev_Prod!X35),ISNUMBER(Amortize_Prod!X22)),Theory_Rev_Prod!X35+Amortize_Prod!X22,"SLO 不可達")</f>
        <v>0.231223075194707</v>
      </c>
      <c r="Y36" s="156" t="n">
        <f aca="false">IF(AND(ISNUMBER(Theory_Rev_Prod!Y35),ISNUMBER(Amortize_Prod!Y22)),Theory_Rev_Prod!Y35+Amortize_Prod!Y22,"SLO 不可達")</f>
        <v>0.0938071107274286</v>
      </c>
      <c r="Z36" s="156" t="n">
        <f aca="false">IF(AND(ISNUMBER(Theory_Rev_Prod!Z35),ISNUMBER(Amortize_Prod!Z22)),Theory_Rev_Prod!Z35+Amortize_Prod!Z22,"SLO 不可達")</f>
        <v>0.12115283185561</v>
      </c>
      <c r="AA36" s="156" t="n">
        <f aca="false">IF(AND(ISNUMBER(Theory_Rev_Prod!AA35),ISNUMBER(Amortize_Prod!AA22)),Theory_Rev_Prod!AA35+Amortize_Prod!AA22,"SLO 不可達")</f>
        <v>0.206257807098325</v>
      </c>
      <c r="AB36" s="156" t="n">
        <f aca="false">IF(AND(ISNUMBER(Theory_Rev_Prod!AB35),ISNUMBER(Amortize_Prod!AB22)),Theory_Rev_Prod!AB35+Amortize_Prod!AB22,"SLO 不可達")</f>
        <v>0.0616679702231791</v>
      </c>
      <c r="AC36" s="156" t="n">
        <f aca="false">IF(AND(ISNUMBER(Theory_Rev_Prod!AC35),ISNUMBER(Amortize_Prod!AC22)),Theory_Rev_Prod!AC35+Amortize_Prod!AC22,"SLO 不可達")</f>
        <v>0.0792548558873168</v>
      </c>
      <c r="AD36" s="156" t="n">
        <f aca="false">IF(AND(ISNUMBER(Theory_Rev_Prod!AD35),ISNUMBER(Amortize_Prod!AD22)),Theory_Rev_Prod!AD35+Amortize_Prod!AD22,"SLO 不可達")</f>
        <v>0.128029215127549</v>
      </c>
      <c r="AE36" s="156" t="n">
        <f aca="false">IF(AND(ISNUMBER(Theory_Rev_Prod!AE35),ISNUMBER(Amortize_Prod!AE22)),Theory_Rev_Prod!AE35+Amortize_Prod!AE22,"SLO 不可達")</f>
        <v>0.0459652410730628</v>
      </c>
      <c r="AF36" s="156" t="n">
        <f aca="false">IF(AND(ISNUMBER(Theory_Rev_Prod!AF35),ISNUMBER(Amortize_Prod!AF22)),Theory_Rev_Prod!AF35+Amortize_Prod!AF22,"SLO 不可達")</f>
        <v>0.069852875171414</v>
      </c>
      <c r="AG36" s="156" t="n">
        <f aca="false">IF(AND(ISNUMBER(Theory_Rev_Prod!AG35),ISNUMBER(Amortize_Prod!AG22)),Theory_Rev_Prod!AG35+Amortize_Prod!AG22,"SLO 不可達")</f>
        <v>0.127506634787651</v>
      </c>
    </row>
    <row r="46" customFormat="false" ht="15" hidden="false" customHeight="false" outlineLevel="0" collapsed="false">
      <c r="A46" s="58" t="s">
        <v>1794</v>
      </c>
      <c r="B46" s="56" t="s">
        <v>2321</v>
      </c>
      <c r="C46" s="60" t="n">
        <f aca="false">IF(ISNUMBER(INDEX(Interface_Prod!$C$41:$Q$41,1,Theory_Rev!C$7)),INDEX(Interface_Prod!$C$41:$Q$41,1,Theory_Rev!C$7)*IF_Util,INDEX(Interface_Prod!$C$41:$Q$41,1,Theory_Rev!C$7))</f>
        <v>1131081439.49092</v>
      </c>
      <c r="D46" s="60" t="n">
        <f aca="false">IF(ISNUMBER(INDEX(Interface_Prod!$C$41:$Q$41,1,Theory_Rev!D$7)),INDEX(Interface_Prod!$C$41:$Q$41,1,Theory_Rev!D$7)*IF_Util,INDEX(Interface_Prod!$C$41:$Q$41,1,Theory_Rev!D$7))</f>
        <v>1131081439.49092</v>
      </c>
      <c r="E46" s="60" t="n">
        <f aca="false">IF(ISNUMBER(INDEX(Interface_Prod!$C$41:$Q$41,1,Theory_Rev!E$7)),INDEX(Interface_Prod!$C$41:$Q$41,1,Theory_Rev!E$7)*IF_Util,INDEX(Interface_Prod!$C$41:$Q$41,1,Theory_Rev!E$7))</f>
        <v>1131081439.49092</v>
      </c>
      <c r="F46" s="60" t="n">
        <f aca="false">IF(ISNUMBER(INDEX(Interface_Prod!$C$41:$Q$41,1,Theory_Rev!F$7)),INDEX(Interface_Prod!$C$41:$Q$41,1,Theory_Rev!F$7)*IF_Util,INDEX(Interface_Prod!$C$41:$Q$41,1,Theory_Rev!F$7))</f>
        <v>8811590625.56576</v>
      </c>
      <c r="G46" s="60" t="n">
        <f aca="false">IF(ISNUMBER(INDEX(Interface_Prod!$C$41:$Q$41,1,Theory_Rev!G$7)),INDEX(Interface_Prod!$C$41:$Q$41,1,Theory_Rev!G$7)*IF_Util,INDEX(Interface_Prod!$C$41:$Q$41,1,Theory_Rev!G$7))</f>
        <v>8811590625.56576</v>
      </c>
      <c r="H46" s="60" t="n">
        <f aca="false">IF(ISNUMBER(INDEX(Interface_Prod!$C$41:$Q$41,1,Theory_Rev!H$7)),INDEX(Interface_Prod!$C$41:$Q$41,1,Theory_Rev!H$7)*IF_Util,INDEX(Interface_Prod!$C$41:$Q$41,1,Theory_Rev!H$7))</f>
        <v>8811590625.56576</v>
      </c>
      <c r="I46" s="60" t="n">
        <f aca="false">IF(ISNUMBER(INDEX(Interface_Prod!$C$41:$Q$41,1,Theory_Rev!I$7)),INDEX(Interface_Prod!$C$41:$Q$41,1,Theory_Rev!I$7)*IF_Util,INDEX(Interface_Prod!$C$41:$Q$41,1,Theory_Rev!I$7))</f>
        <v>10164954812.5931</v>
      </c>
      <c r="J46" s="60" t="n">
        <f aca="false">IF(ISNUMBER(INDEX(Interface_Prod!$C$41:$Q$41,1,Theory_Rev!J$7)),INDEX(Interface_Prod!$C$41:$Q$41,1,Theory_Rev!J$7)*IF_Util,INDEX(Interface_Prod!$C$41:$Q$41,1,Theory_Rev!J$7))</f>
        <v>10164954812.5931</v>
      </c>
      <c r="K46" s="60" t="n">
        <f aca="false">IF(ISNUMBER(INDEX(Interface_Prod!$C$41:$Q$41,1,Theory_Rev!K$7)),INDEX(Interface_Prod!$C$41:$Q$41,1,Theory_Rev!K$7)*IF_Util,INDEX(Interface_Prod!$C$41:$Q$41,1,Theory_Rev!K$7))</f>
        <v>10164954812.5931</v>
      </c>
      <c r="L46" s="60" t="n">
        <f aca="false">IF(ISNUMBER(INDEX(Interface_Prod!$C$41:$Q$41,1,Theory_Rev!L$7)),INDEX(Interface_Prod!$C$41:$Q$41,1,Theory_Rev!L$7)*IF_Util,INDEX(Interface_Prod!$C$41:$Q$41,1,Theory_Rev!L$7))</f>
        <v>23512335581.9128</v>
      </c>
      <c r="M46" s="60" t="n">
        <f aca="false">IF(ISNUMBER(INDEX(Interface_Prod!$C$41:$Q$41,1,Theory_Rev!M$7)),INDEX(Interface_Prod!$C$41:$Q$41,1,Theory_Rev!M$7)*IF_Util,INDEX(Interface_Prod!$C$41:$Q$41,1,Theory_Rev!M$7))</f>
        <v>23512335581.9128</v>
      </c>
      <c r="N46" s="60" t="n">
        <f aca="false">IF(ISNUMBER(INDEX(Interface_Prod!$C$41:$Q$41,1,Theory_Rev!N$7)),INDEX(Interface_Prod!$C$41:$Q$41,1,Theory_Rev!N$7)*IF_Util,INDEX(Interface_Prod!$C$41:$Q$41,1,Theory_Rev!N$7))</f>
        <v>23512335581.9128</v>
      </c>
      <c r="O46" s="60" t="n">
        <f aca="false">IF(ISNUMBER(INDEX(Interface_Prod!$C$41:$Q$41,1,Theory_Rev!O$7)),INDEX(Interface_Prod!$C$41:$Q$41,1,Theory_Rev!O$7)*IF_Util,INDEX(Interface_Prod!$C$41:$Q$41,1,Theory_Rev!O$7))</f>
        <v>34656308563.632</v>
      </c>
      <c r="P46" s="60" t="n">
        <f aca="false">IF(ISNUMBER(INDEX(Interface_Prod!$C$41:$Q$41,1,Theory_Rev!P$7)),INDEX(Interface_Prod!$C$41:$Q$41,1,Theory_Rev!P$7)*IF_Util,INDEX(Interface_Prod!$C$41:$Q$41,1,Theory_Rev!P$7))</f>
        <v>34656308563.632</v>
      </c>
      <c r="Q46" s="60" t="n">
        <f aca="false">IF(ISNUMBER(INDEX(Interface_Prod!$C$41:$Q$41,1,Theory_Rev!Q$7)),INDEX(Interface_Prod!$C$41:$Q$41,1,Theory_Rev!Q$7)*IF_Util,INDEX(Interface_Prod!$C$41:$Q$41,1,Theory_Rev!Q$7))</f>
        <v>34656308563.632</v>
      </c>
      <c r="S46" s="60" t="n">
        <f aca="false">IF(ISNUMBER(INDEX(Interface_Prod!$S$41:$AG$41,1,Theory_Rev!C$7)),INDEX(Interface_Prod!$S$41:$AG$41,1,Theory_Rev!C$7)*IF_Util,INDEX(Interface_Prod!$S$41:$AG$41,1,Theory_Rev!C$7))</f>
        <v>2325910977.56283</v>
      </c>
      <c r="T46" s="60" t="n">
        <f aca="false">IF(ISNUMBER(INDEX(Interface_Prod!$S$41:$AG$41,1,Theory_Rev!D$7)),INDEX(Interface_Prod!$S$41:$AG$41,1,Theory_Rev!D$7)*IF_Util,INDEX(Interface_Prod!$S$41:$AG$41,1,Theory_Rev!D$7))</f>
        <v>2325910977.56283</v>
      </c>
      <c r="U46" s="60" t="n">
        <f aca="false">IF(ISNUMBER(INDEX(Interface_Prod!$S$41:$AG$41,1,Theory_Rev!E$7)),INDEX(Interface_Prod!$S$41:$AG$41,1,Theory_Rev!E$7)*IF_Util,INDEX(Interface_Prod!$S$41:$AG$41,1,Theory_Rev!E$7))</f>
        <v>2325910977.56283</v>
      </c>
      <c r="V46" s="60" t="n">
        <f aca="false">IF(ISNUMBER(INDEX(Interface_Prod!$S$41:$AG$41,1,Theory_Rev!F$7)),INDEX(Interface_Prod!$S$41:$AG$41,1,Theory_Rev!F$7)*IF_Util,INDEX(Interface_Prod!$S$41:$AG$41,1,Theory_Rev!F$7))</f>
        <v>12025103198.548</v>
      </c>
      <c r="W46" s="60" t="n">
        <f aca="false">IF(ISNUMBER(INDEX(Interface_Prod!$S$41:$AG$41,1,Theory_Rev!G$7)),INDEX(Interface_Prod!$S$41:$AG$41,1,Theory_Rev!G$7)*IF_Util,INDEX(Interface_Prod!$S$41:$AG$41,1,Theory_Rev!G$7))</f>
        <v>12025103198.548</v>
      </c>
      <c r="X46" s="60" t="n">
        <f aca="false">IF(ISNUMBER(INDEX(Interface_Prod!$S$41:$AG$41,1,Theory_Rev!H$7)),INDEX(Interface_Prod!$S$41:$AG$41,1,Theory_Rev!H$7)*IF_Util,INDEX(Interface_Prod!$S$41:$AG$41,1,Theory_Rev!H$7))</f>
        <v>12025103198.548</v>
      </c>
      <c r="Y46" s="60" t="n">
        <f aca="false">IF(ISNUMBER(INDEX(Interface_Prod!$S$41:$AG$41,1,Theory_Rev!I$7)),INDEX(Interface_Prod!$S$41:$AG$41,1,Theory_Rev!I$7)*IF_Util,INDEX(Interface_Prod!$S$41:$AG$41,1,Theory_Rev!I$7))</f>
        <v>14540542517.2698</v>
      </c>
      <c r="Z46" s="60" t="n">
        <f aca="false">IF(ISNUMBER(INDEX(Interface_Prod!$S$41:$AG$41,1,Theory_Rev!J$7)),INDEX(Interface_Prod!$S$41:$AG$41,1,Theory_Rev!J$7)*IF_Util,INDEX(Interface_Prod!$S$41:$AG$41,1,Theory_Rev!J$7))</f>
        <v>14540542517.2698</v>
      </c>
      <c r="AA46" s="60" t="n">
        <f aca="false">IF(ISNUMBER(INDEX(Interface_Prod!$S$41:$AG$41,1,Theory_Rev!K$7)),INDEX(Interface_Prod!$S$41:$AG$41,1,Theory_Rev!K$7)*IF_Util,INDEX(Interface_Prod!$S$41:$AG$41,1,Theory_Rev!K$7))</f>
        <v>14540542517.2698</v>
      </c>
      <c r="AB46" s="60" t="n">
        <f aca="false">IF(ISNUMBER(INDEX(Interface_Prod!$S$41:$AG$41,1,Theory_Rev!L$7)),INDEX(Interface_Prod!$S$41:$AG$41,1,Theory_Rev!L$7)*IF_Util,INDEX(Interface_Prod!$S$41:$AG$41,1,Theory_Rev!L$7))</f>
        <v>30700734330.9357</v>
      </c>
      <c r="AC46" s="60" t="n">
        <f aca="false">IF(ISNUMBER(INDEX(Interface_Prod!$S$41:$AG$41,1,Theory_Rev!M$7)),INDEX(Interface_Prod!$S$41:$AG$41,1,Theory_Rev!M$7)*IF_Util,INDEX(Interface_Prod!$S$41:$AG$41,1,Theory_Rev!M$7))</f>
        <v>30700734330.9357</v>
      </c>
      <c r="AD46" s="60" t="n">
        <f aca="false">IF(ISNUMBER(INDEX(Interface_Prod!$S$41:$AG$41,1,Theory_Rev!N$7)),INDEX(Interface_Prod!$S$41:$AG$41,1,Theory_Rev!N$7)*IF_Util,INDEX(Interface_Prod!$S$41:$AG$41,1,Theory_Rev!N$7))</f>
        <v>30700734330.9357</v>
      </c>
      <c r="AE46" s="60" t="n">
        <f aca="false">IF(ISNUMBER(INDEX(Interface_Prod!$S$41:$AG$41,1,Theory_Rev!O$7)),INDEX(Interface_Prod!$S$41:$AG$41,1,Theory_Rev!O$7)*IF_Util,INDEX(Interface_Prod!$S$41:$AG$41,1,Theory_Rev!O$7))</f>
        <v>44640573595.0624</v>
      </c>
      <c r="AF46" s="60" t="n">
        <f aca="false">IF(ISNUMBER(INDEX(Interface_Prod!$S$41:$AG$41,1,Theory_Rev!P$7)),INDEX(Interface_Prod!$S$41:$AG$41,1,Theory_Rev!P$7)*IF_Util,INDEX(Interface_Prod!$S$41:$AG$41,1,Theory_Rev!P$7))</f>
        <v>44640573595.0624</v>
      </c>
      <c r="AG46" s="60" t="n">
        <f aca="false">IF(ISNUMBER(INDEX(Interface_Prod!$S$41:$AG$41,1,Theory_Rev!Q$7)),INDEX(Interface_Prod!$S$41:$AG$41,1,Theory_Rev!Q$7)*IF_Util,INDEX(Interface_Prod!$S$41:$AG$41,1,Theory_Rev!Q$7))</f>
        <v>44640573595.0624</v>
      </c>
    </row>
    <row r="47" customFormat="false" ht="15" hidden="false" customHeight="false" outlineLevel="0" collapsed="false">
      <c r="A47" s="58" t="s">
        <v>1817</v>
      </c>
      <c r="B47" s="56" t="s">
        <v>2348</v>
      </c>
      <c r="C47" s="159" t="n">
        <f aca="false">IF(ISNUMBER(Theory_Rev_Prod!C46),Theory_Rev_Prod!C46*INDEX(B4_EffRef,1,3)/1000000000,Theory_Rev_Prod!C46)</f>
        <v>9.08886774488705</v>
      </c>
      <c r="D47" s="159" t="n">
        <f aca="false">IF(ISNUMBER(Theory_Rev_Prod!D46),Theory_Rev_Prod!D46*INDEX(B4_EffRef,1,3)/1000000000,Theory_Rev_Prod!D46)</f>
        <v>9.08886774488705</v>
      </c>
      <c r="E47" s="159" t="n">
        <f aca="false">IF(ISNUMBER(Theory_Rev_Prod!E46),Theory_Rev_Prod!E46*INDEX(B4_EffRef,1,3)/1000000000,Theory_Rev_Prod!E46)</f>
        <v>9.08886774488705</v>
      </c>
      <c r="F47" s="159" t="n">
        <f aca="false">IF(ISNUMBER(Theory_Rev_Prod!F46),Theory_Rev_Prod!F46*INDEX(B4_EffRef,1,3)/1000000000,Theory_Rev_Prod!F46)</f>
        <v>70.8060260045462</v>
      </c>
      <c r="G47" s="159" t="n">
        <f aca="false">IF(ISNUMBER(Theory_Rev_Prod!G46),Theory_Rev_Prod!G46*INDEX(B4_EffRef,1,3)/1000000000,Theory_Rev_Prod!G46)</f>
        <v>70.8060260045462</v>
      </c>
      <c r="H47" s="159" t="n">
        <f aca="false">IF(ISNUMBER(Theory_Rev_Prod!H46),Theory_Rev_Prod!H46*INDEX(B4_EffRef,1,3)/1000000000,Theory_Rev_Prod!H46)</f>
        <v>70.8060260045462</v>
      </c>
      <c r="I47" s="159" t="n">
        <f aca="false">IF(ISNUMBER(Theory_Rev_Prod!I46),Theory_Rev_Prod!I46*INDEX(B4_EffRef,1,3)/1000000000,Theory_Rev_Prod!I46)</f>
        <v>81.6810591163036</v>
      </c>
      <c r="J47" s="159" t="n">
        <f aca="false">IF(ISNUMBER(Theory_Rev_Prod!J46),Theory_Rev_Prod!J46*INDEX(B4_EffRef,1,3)/1000000000,Theory_Rev_Prod!J46)</f>
        <v>81.6810591163036</v>
      </c>
      <c r="K47" s="159" t="n">
        <f aca="false">IF(ISNUMBER(Theory_Rev_Prod!K46),Theory_Rev_Prod!K46*INDEX(B4_EffRef,1,3)/1000000000,Theory_Rev_Prod!K46)</f>
        <v>81.6810591163036</v>
      </c>
      <c r="L47" s="159" t="n">
        <f aca="false">IF(ISNUMBER(Theory_Rev_Prod!L46),Theory_Rev_Prod!L46*INDEX(B4_EffRef,1,3)/1000000000,Theory_Rev_Prod!L46)</f>
        <v>188.934678809326</v>
      </c>
      <c r="M47" s="159" t="n">
        <f aca="false">IF(ISNUMBER(Theory_Rev_Prod!M46),Theory_Rev_Prod!M46*INDEX(B4_EffRef,1,3)/1000000000,Theory_Rev_Prod!M46)</f>
        <v>188.934678809326</v>
      </c>
      <c r="N47" s="159" t="n">
        <f aca="false">IF(ISNUMBER(Theory_Rev_Prod!N46),Theory_Rev_Prod!N46*INDEX(B4_EffRef,1,3)/1000000000,Theory_Rev_Prod!N46)</f>
        <v>188.934678809326</v>
      </c>
      <c r="O47" s="159" t="n">
        <f aca="false">IF(ISNUMBER(Theory_Rev_Prod!O46),Theory_Rev_Prod!O46*INDEX(B4_EffRef,1,3)/1000000000,Theory_Rev_Prod!O46)</f>
        <v>278.482692813541</v>
      </c>
      <c r="P47" s="159" t="n">
        <f aca="false">IF(ISNUMBER(Theory_Rev_Prod!P46),Theory_Rev_Prod!P46*INDEX(B4_EffRef,1,3)/1000000000,Theory_Rev_Prod!P46)</f>
        <v>278.482692813541</v>
      </c>
      <c r="Q47" s="159" t="n">
        <f aca="false">IF(ISNUMBER(Theory_Rev_Prod!Q46),Theory_Rev_Prod!Q46*INDEX(B4_EffRef,1,3)/1000000000,Theory_Rev_Prod!Q46)</f>
        <v>278.482692813541</v>
      </c>
      <c r="S47" s="159" t="n">
        <f aca="false">IF(ISNUMBER(Theory_Rev_Prod!S46),Theory_Rev_Prod!S46*INDEX(B4_EffRef,1,3)/1000000000,Theory_Rev_Prod!S46)</f>
        <v>18.6899868774826</v>
      </c>
      <c r="T47" s="159" t="n">
        <f aca="false">IF(ISNUMBER(Theory_Rev_Prod!T46),Theory_Rev_Prod!T46*INDEX(B4_EffRef,1,3)/1000000000,Theory_Rev_Prod!T46)</f>
        <v>18.6899868774826</v>
      </c>
      <c r="U47" s="159" t="n">
        <f aca="false">IF(ISNUMBER(Theory_Rev_Prod!U46),Theory_Rev_Prod!U46*INDEX(B4_EffRef,1,3)/1000000000,Theory_Rev_Prod!U46)</f>
        <v>18.6899868774826</v>
      </c>
      <c r="V47" s="159" t="n">
        <f aca="false">IF(ISNUMBER(Theory_Rev_Prod!V46),Theory_Rev_Prod!V46*INDEX(B4_EffRef,1,3)/1000000000,Theory_Rev_Prod!V46)</f>
        <v>96.6283848132214</v>
      </c>
      <c r="W47" s="159" t="n">
        <f aca="false">IF(ISNUMBER(Theory_Rev_Prod!W46),Theory_Rev_Prod!W46*INDEX(B4_EffRef,1,3)/1000000000,Theory_Rev_Prod!W46)</f>
        <v>96.6283848132214</v>
      </c>
      <c r="X47" s="159" t="n">
        <f aca="false">IF(ISNUMBER(Theory_Rev_Prod!X46),Theory_Rev_Prod!X46*INDEX(B4_EffRef,1,3)/1000000000,Theory_Rev_Prod!X46)</f>
        <v>96.6283848132214</v>
      </c>
      <c r="Y47" s="159" t="n">
        <f aca="false">IF(ISNUMBER(Theory_Rev_Prod!Y46),Theory_Rev_Prod!Y46*INDEX(B4_EffRef,1,3)/1000000000,Theory_Rev_Prod!Y46)</f>
        <v>116.841337205439</v>
      </c>
      <c r="Z47" s="159" t="n">
        <f aca="false">IF(ISNUMBER(Theory_Rev_Prod!Z46),Theory_Rev_Prod!Z46*INDEX(B4_EffRef,1,3)/1000000000,Theory_Rev_Prod!Z46)</f>
        <v>116.841337205439</v>
      </c>
      <c r="AA47" s="159" t="n">
        <f aca="false">IF(ISNUMBER(Theory_Rev_Prod!AA46),Theory_Rev_Prod!AA46*INDEX(B4_EffRef,1,3)/1000000000,Theory_Rev_Prod!AA46)</f>
        <v>116.841337205439</v>
      </c>
      <c r="AB47" s="159" t="n">
        <f aca="false">IF(ISNUMBER(Theory_Rev_Prod!AB46),Theory_Rev_Prod!AB46*INDEX(B4_EffRef,1,3)/1000000000,Theory_Rev_Prod!AB46)</f>
        <v>246.697456312585</v>
      </c>
      <c r="AC47" s="159" t="n">
        <f aca="false">IF(ISNUMBER(Theory_Rev_Prod!AC46),Theory_Rev_Prod!AC46*INDEX(B4_EffRef,1,3)/1000000000,Theory_Rev_Prod!AC46)</f>
        <v>246.697456312585</v>
      </c>
      <c r="AD47" s="159" t="n">
        <f aca="false">IF(ISNUMBER(Theory_Rev_Prod!AD46),Theory_Rev_Prod!AD46*INDEX(B4_EffRef,1,3)/1000000000,Theory_Rev_Prod!AD46)</f>
        <v>246.697456312585</v>
      </c>
      <c r="AE47" s="159" t="n">
        <f aca="false">IF(ISNUMBER(Theory_Rev_Prod!AE46),Theory_Rev_Prod!AE46*INDEX(B4_EffRef,1,3)/1000000000,Theory_Rev_Prod!AE46)</f>
        <v>358.71180915499</v>
      </c>
      <c r="AF47" s="159" t="n">
        <f aca="false">IF(ISNUMBER(Theory_Rev_Prod!AF46),Theory_Rev_Prod!AF46*INDEX(B4_EffRef,1,3)/1000000000,Theory_Rev_Prod!AF46)</f>
        <v>358.71180915499</v>
      </c>
      <c r="AG47" s="159" t="n">
        <f aca="false">IF(ISNUMBER(Theory_Rev_Prod!AG46),Theory_Rev_Prod!AG46*INDEX(B4_EffRef,1,3)/1000000000,Theory_Rev_Prod!AG46)</f>
        <v>358.71180915499</v>
      </c>
    </row>
    <row r="53" customFormat="false" ht="15" hidden="false" customHeight="false" outlineLevel="0" collapsed="false">
      <c r="A53" s="58" t="s">
        <v>1802</v>
      </c>
      <c r="B53" s="56" t="s">
        <v>795</v>
      </c>
      <c r="C53" s="155" t="n">
        <f aca="false">Amortize_Prod!C33</f>
        <v>5.57756686435066</v>
      </c>
      <c r="D53" s="155" t="n">
        <f aca="false">Amortize_Prod!D33</f>
        <v>7.96913166521358</v>
      </c>
      <c r="E53" s="155" t="n">
        <f aca="false">Amortize_Prod!E33</f>
        <v>13.6857700286062</v>
      </c>
      <c r="F53" s="155" t="n">
        <f aca="false">Amortize_Prod!F33</f>
        <v>0.69195636564798</v>
      </c>
      <c r="G53" s="155" t="n">
        <f aca="false">Amortize_Prod!G33</f>
        <v>0.923832474189568</v>
      </c>
      <c r="H53" s="155" t="n">
        <f aca="false">Amortize_Prod!H33</f>
        <v>1.49824317188253</v>
      </c>
      <c r="I53" s="155" t="n">
        <f aca="false">Amortize_Prod!I33</f>
        <v>0.778189574375637</v>
      </c>
      <c r="J53" s="155" t="n">
        <f aca="false">Amortize_Prod!J33</f>
        <v>1.00501178330979</v>
      </c>
      <c r="K53" s="155" t="n">
        <f aca="false">Amortize_Prod!K33</f>
        <v>1.71092472615577</v>
      </c>
      <c r="L53" s="155" t="n">
        <f aca="false">Amortize_Prod!L33</f>
        <v>0.363684463990818</v>
      </c>
      <c r="M53" s="155" t="n">
        <f aca="false">Amortize_Prod!M33</f>
        <v>0.467364612124674</v>
      </c>
      <c r="N53" s="155" t="n">
        <f aca="false">Amortize_Prod!N33</f>
        <v>0.754904594344097</v>
      </c>
      <c r="O53" s="155" t="n">
        <f aca="false">Amortize_Prod!O33</f>
        <v>0.259425247110484</v>
      </c>
      <c r="P53" s="155" t="n">
        <f aca="false">Amortize_Prod!P33</f>
        <v>0.394174751660967</v>
      </c>
      <c r="Q53" s="155" t="n">
        <f aca="false">Amortize_Prod!Q33</f>
        <v>0.719398066442766</v>
      </c>
      <c r="S53" s="155" t="n">
        <f aca="false">Amortize_Prod!S33</f>
        <v>2.55728838640192</v>
      </c>
      <c r="T53" s="155" t="n">
        <f aca="false">Amortize_Prod!T33</f>
        <v>3.65375785529338</v>
      </c>
      <c r="U53" s="155" t="n">
        <f aca="false">Amortize_Prod!U33</f>
        <v>6.2746859722702</v>
      </c>
      <c r="V53" s="155" t="n">
        <f aca="false">Amortize_Prod!V33</f>
        <v>0.500258998810704</v>
      </c>
      <c r="W53" s="155" t="n">
        <f aca="false">Amortize_Prod!W33</f>
        <v>0.667876164712613</v>
      </c>
      <c r="X53" s="155" t="n">
        <f aca="false">Amortize_Prod!X33</f>
        <v>1.08310261394278</v>
      </c>
      <c r="Y53" s="155" t="n">
        <f aca="false">Amortize_Prod!Y33</f>
        <v>0.536385918424571</v>
      </c>
      <c r="Z53" s="155" t="n">
        <f aca="false">Amortize_Prod!Z33</f>
        <v>0.692708368266773</v>
      </c>
      <c r="AA53" s="155" t="n">
        <f aca="false">Amortize_Prod!AA33</f>
        <v>1.1792129355203</v>
      </c>
      <c r="AB53" s="155" t="n">
        <f aca="false">Amortize_Prod!AB33</f>
        <v>0.275196951960023</v>
      </c>
      <c r="AC53" s="155" t="n">
        <f aca="false">Amortize_Prod!AC33</f>
        <v>0.353635347542499</v>
      </c>
      <c r="AD53" s="155" t="n">
        <f aca="false">Amortize_Prod!AD33</f>
        <v>0.571171445600413</v>
      </c>
      <c r="AE53" s="155" t="n">
        <f aca="false">Amortize_Prod!AE33</f>
        <v>0.199188660250764</v>
      </c>
      <c r="AF53" s="155" t="n">
        <f aca="false">Amortize_Prod!AF33</f>
        <v>0.302623399033489</v>
      </c>
      <c r="AG53" s="155" t="n">
        <f aca="false">Amortize_Prod!AG33</f>
        <v>0.5522672750739</v>
      </c>
    </row>
    <row r="54" customFormat="false" ht="15" hidden="false" customHeight="false" outlineLevel="0" collapsed="false">
      <c r="A54" s="58" t="s">
        <v>1819</v>
      </c>
      <c r="B54" s="56" t="s">
        <v>795</v>
      </c>
      <c r="C54" s="156" t="n">
        <f aca="false">IF(AND(ISNUMBER(Theory_Rev_Prod!C53),ISNUMBER(Amortize_Prod!C32)),Theory_Rev_Prod!C53+Amortize_Prod!C32,"SLO 不可達")</f>
        <v>13.8187128955432</v>
      </c>
      <c r="D54" s="156" t="n">
        <f aca="false">IF(AND(ISNUMBER(Theory_Rev_Prod!D53),ISNUMBER(Amortize_Prod!D32)),Theory_Rev_Prod!D53+Amortize_Prod!D32,"SLO 不可達")</f>
        <v>19.744080898004</v>
      </c>
      <c r="E54" s="156" t="n">
        <f aca="false">IF(AND(ISNUMBER(Theory_Rev_Prod!E53),ISNUMBER(Amortize_Prod!E32)),Theory_Rev_Prod!E53+Amortize_Prod!E32,"SLO 不可達")</f>
        <v>33.9076887700821</v>
      </c>
      <c r="F54" s="156" t="n">
        <f aca="false">IF(AND(ISNUMBER(Theory_Rev_Prod!F53),ISNUMBER(Amortize_Prod!F32)),Theory_Rev_Prod!F53+Amortize_Prod!F32,"SLO 不可達")</f>
        <v>1.25766742001632</v>
      </c>
      <c r="G54" s="156" t="n">
        <f aca="false">IF(AND(ISNUMBER(Theory_Rev_Prod!G53),ISNUMBER(Amortize_Prod!G32)),Theory_Rev_Prod!G53+Amortize_Prod!G32,"SLO 不可達")</f>
        <v>1.6791757326567</v>
      </c>
      <c r="H54" s="156" t="n">
        <f aca="false">IF(AND(ISNUMBER(Theory_Rev_Prod!H53),ISNUMBER(Amortize_Prod!H32)),Theory_Rev_Prod!H53+Amortize_Prod!H32,"SLO 不可達")</f>
        <v>2.72334921594475</v>
      </c>
      <c r="I54" s="156" t="n">
        <f aca="false">IF(AND(ISNUMBER(Theory_Rev_Prod!I53),ISNUMBER(Amortize_Prod!I32)),Theory_Rev_Prod!I53+Amortize_Prod!I32,"SLO 不可達")</f>
        <v>1.30458253122324</v>
      </c>
      <c r="J54" s="156" t="n">
        <f aca="false">IF(AND(ISNUMBER(Theory_Rev_Prod!J53),ISNUMBER(Amortize_Prod!J32)),Theory_Rev_Prod!J53+Amortize_Prod!J32,"SLO 不可達")</f>
        <v>1.6848787498844</v>
      </c>
      <c r="K54" s="156" t="n">
        <f aca="false">IF(AND(ISNUMBER(Theory_Rev_Prod!K53),ISNUMBER(Amortize_Prod!K32)),Theory_Rev_Prod!K53+Amortize_Prod!K32,"SLO 不可達")</f>
        <v>2.86843138403682</v>
      </c>
      <c r="L54" s="156" t="n">
        <f aca="false">IF(AND(ISNUMBER(Theory_Rev_Prod!L53),ISNUMBER(Amortize_Prod!L32)),Theory_Rev_Prod!L53+Amortize_Prod!L32,"SLO 不可達")</f>
        <v>0.550105101834505</v>
      </c>
      <c r="M54" s="156" t="n">
        <f aca="false">IF(AND(ISNUMBER(Theory_Rev_Prod!M53),ISNUMBER(Amortize_Prod!M32)),Theory_Rev_Prod!M53+Amortize_Prod!M32,"SLO 不可達")</f>
        <v>0.706963190029358</v>
      </c>
      <c r="N54" s="156" t="n">
        <f aca="false">IF(AND(ISNUMBER(Theory_Rev_Prod!N53),ISNUMBER(Amortize_Prod!N32)),Theory_Rev_Prod!N53+Amortize_Prod!N32,"SLO 不可達")</f>
        <v>1.14198351650778</v>
      </c>
      <c r="O54" s="156" t="n">
        <f aca="false">IF(AND(ISNUMBER(Theory_Rev_Prod!O53),ISNUMBER(Amortize_Prod!O32)),Theory_Rev_Prod!O53+Amortize_Prod!O32,"SLO 不可達")</f>
        <v>0.352607903361854</v>
      </c>
      <c r="P54" s="156" t="n">
        <f aca="false">IF(AND(ISNUMBER(Theory_Rev_Prod!P53),ISNUMBER(Amortize_Prod!P32)),Theory_Rev_Prod!P53+Amortize_Prod!P32,"SLO 不可達")</f>
        <v>0.535799612330799</v>
      </c>
      <c r="Q54" s="156" t="n">
        <f aca="false">IF(AND(ISNUMBER(Theory_Rev_Prod!Q53),ISNUMBER(Amortize_Prod!Q32)),Theory_Rev_Prod!Q53+Amortize_Prod!Q32,"SLO 不可達")</f>
        <v>0.97794012357181</v>
      </c>
      <c r="S54" s="156" t="n">
        <f aca="false">IF(AND(ISNUMBER(Theory_Rev_Prod!S53),ISNUMBER(Amortize_Prod!S32)),Theory_Rev_Prod!S53+Amortize_Prod!S32,"SLO 不可達")</f>
        <v>6.77389042755267</v>
      </c>
      <c r="T54" s="156" t="n">
        <f aca="false">IF(AND(ISNUMBER(Theory_Rev_Prod!T53),ISNUMBER(Amortize_Prod!T32)),Theory_Rev_Prod!T53+Amortize_Prod!T32,"SLO 不可達")</f>
        <v>9.67843874087721</v>
      </c>
      <c r="U54" s="156" t="n">
        <f aca="false">IF(AND(ISNUMBER(Theory_Rev_Prod!U53),ISNUMBER(Amortize_Prod!U32)),Theory_Rev_Prod!U53+Amortize_Prod!U32,"SLO 不可達")</f>
        <v>16.6212789726315</v>
      </c>
      <c r="V54" s="156" t="n">
        <f aca="false">IF(AND(ISNUMBER(Theory_Rev_Prod!V53),ISNUMBER(Amortize_Prod!V32)),Theory_Rev_Prod!V53+Amortize_Prod!V32,"SLO 不可達")</f>
        <v>0.902351992967805</v>
      </c>
      <c r="W54" s="156" t="n">
        <f aca="false">IF(AND(ISNUMBER(Theory_Rev_Prod!W53),ISNUMBER(Amortize_Prod!W32)),Theory_Rev_Prod!W53+Amortize_Prod!W32,"SLO 不可達")</f>
        <v>1.20475489470766</v>
      </c>
      <c r="X54" s="156" t="n">
        <f aca="false">IF(AND(ISNUMBER(Theory_Rev_Prod!X53),ISNUMBER(Amortize_Prod!X32)),Theory_Rev_Prod!X53+Amortize_Prod!X32,"SLO 不可達")</f>
        <v>1.95387675493419</v>
      </c>
      <c r="Y54" s="156" t="n">
        <f aca="false">IF(AND(ISNUMBER(Theory_Rev_Prod!Y53),ISNUMBER(Amortize_Prod!Y32)),Theory_Rev_Prod!Y53+Amortize_Prod!Y32,"SLO 不可達")</f>
        <v>0.903208960889859</v>
      </c>
      <c r="Z54" s="156" t="n">
        <f aca="false">IF(AND(ISNUMBER(Theory_Rev_Prod!Z53),ISNUMBER(Amortize_Prod!Z32)),Theory_Rev_Prod!Z53+Amortize_Prod!Z32,"SLO 不可達")</f>
        <v>1.16648155597062</v>
      </c>
      <c r="AA54" s="156" t="n">
        <f aca="false">IF(AND(ISNUMBER(Theory_Rev_Prod!AA53),ISNUMBER(Amortize_Prod!AA32)),Theory_Rev_Prod!AA53+Amortize_Prod!AA32,"SLO 不可達")</f>
        <v>1.98583488665837</v>
      </c>
      <c r="AB54" s="156" t="n">
        <f aca="false">IF(AND(ISNUMBER(Theory_Rev_Prod!AB53),ISNUMBER(Amortize_Prod!AB32)),Theory_Rev_Prod!AB53+Amortize_Prod!AB32,"SLO 不可達")</f>
        <v>0.411354577285165</v>
      </c>
      <c r="AC54" s="156" t="n">
        <f aca="false">IF(AND(ISNUMBER(Theory_Rev_Prod!AC53),ISNUMBER(Amortize_Prod!AC32)),Theory_Rev_Prod!AC53+Amortize_Prod!AC32,"SLO 不可達")</f>
        <v>0.528632996816382</v>
      </c>
      <c r="AD54" s="156" t="n">
        <f aca="false">IF(AND(ISNUMBER(Theory_Rev_Prod!AD53),ISNUMBER(Amortize_Prod!AD32)),Theory_Rev_Prod!AD53+Amortize_Prod!AD32,"SLO 不可達")</f>
        <v>0.85388556708848</v>
      </c>
      <c r="AE54" s="156" t="n">
        <f aca="false">IF(AND(ISNUMBER(Theory_Rev_Prod!AE53),ISNUMBER(Amortize_Prod!AE32)),Theory_Rev_Prod!AE53+Amortize_Prod!AE32,"SLO 不可達")</f>
        <v>0.268797402426283</v>
      </c>
      <c r="AF54" s="156" t="n">
        <f aca="false">IF(AND(ISNUMBER(Theory_Rev_Prod!AF53),ISNUMBER(Amortize_Prod!AF32)),Theory_Rev_Prod!AF53+Amortize_Prod!AF32,"SLO 不可達")</f>
        <v>0.408419142668617</v>
      </c>
      <c r="AG54" s="156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1825</v>
      </c>
      <c r="B67" s="56" t="s">
        <v>2348</v>
      </c>
      <c r="C67" s="159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2.24296199760285</v>
      </c>
      <c r="D67" s="159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2.24296199760285</v>
      </c>
      <c r="E67" s="159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2.24296199760285</v>
      </c>
      <c r="F67" s="159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15.2851605558118</v>
      </c>
      <c r="G67" s="159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15.2851605558118</v>
      </c>
      <c r="H67" s="159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15.2851605558118</v>
      </c>
      <c r="I67" s="159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19.2324652424837</v>
      </c>
      <c r="J67" s="159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19.2324652424837</v>
      </c>
      <c r="K67" s="159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19.2324652424837</v>
      </c>
      <c r="L67" s="159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38.1145472754025</v>
      </c>
      <c r="M67" s="159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38.1145472754025</v>
      </c>
      <c r="N67" s="159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38.1145472754025</v>
      </c>
      <c r="O67" s="159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54.4181760054532</v>
      </c>
      <c r="P67" s="159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54.4181760054532</v>
      </c>
      <c r="Q67" s="159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54.4181760054532</v>
      </c>
      <c r="S67" s="159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4.00488774987164</v>
      </c>
      <c r="T67" s="159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4.00488774987164</v>
      </c>
      <c r="U67" s="159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4.00488774987164</v>
      </c>
      <c r="V67" s="159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20.1746158611128</v>
      </c>
      <c r="W67" s="159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20.1746158611128</v>
      </c>
      <c r="X67" s="159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20.1746158611128</v>
      </c>
      <c r="Y67" s="159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26.2652356996766</v>
      </c>
      <c r="Z67" s="159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26.2652356996766</v>
      </c>
      <c r="AA67" s="159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26.2652356996766</v>
      </c>
      <c r="AB67" s="159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48.7237019639935</v>
      </c>
      <c r="AC67" s="159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48.7237019639935</v>
      </c>
      <c r="AD67" s="159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48.7237019639935</v>
      </c>
      <c r="AE67" s="159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68.9276257152094</v>
      </c>
      <c r="AF67" s="159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68.9276257152094</v>
      </c>
      <c r="AG67" s="159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68.9276257152094</v>
      </c>
    </row>
    <row r="89" customFormat="false" ht="15" hidden="false" customHeight="false" outlineLevel="0" collapsed="false">
      <c r="A89" s="57" t="s">
        <v>2349</v>
      </c>
    </row>
    <row r="90" customFormat="false" ht="15" hidden="false" customHeight="false" outlineLevel="0" collapsed="false">
      <c r="A90" s="56" t="s">
        <v>2350</v>
      </c>
      <c r="C90" s="87" t="n">
        <f aca="false">IF(AND(ISNUMBER(S18),ISNUMBER(Theory_Rev!C18)),IF(ABS(S18-Theory_Rev!C18)&lt;=0.000000000001*MAX(1,ABS(Theory_Rev!C18)),0,1),IF(AND(NOT(ISNUMBER(S18)),NOT(ISNUMBER(Theory_Rev!C18))),0,1))</f>
        <v>0</v>
      </c>
      <c r="D90" s="87" t="n">
        <f aca="false">IF(AND(ISNUMBER(T18),ISNUMBER(Theory_Rev!D18)),IF(ABS(T18-Theory_Rev!D18)&lt;=0.000000000001*MAX(1,ABS(Theory_Rev!D18)),0,1),IF(AND(NOT(ISNUMBER(T18)),NOT(ISNUMBER(Theory_Rev!D18))),0,1))</f>
        <v>0</v>
      </c>
      <c r="E90" s="87" t="n">
        <f aca="false">IF(AND(ISNUMBER(U18),ISNUMBER(Theory_Rev!E18)),IF(ABS(U18-Theory_Rev!E18)&lt;=0.000000000001*MAX(1,ABS(Theory_Rev!E18)),0,1),IF(AND(NOT(ISNUMBER(U18)),NOT(ISNUMBER(Theory_Rev!E18))),0,1))</f>
        <v>0</v>
      </c>
      <c r="F90" s="87" t="n">
        <f aca="false">IF(AND(ISNUMBER(V18),ISNUMBER(Theory_Rev!F18)),IF(ABS(V18-Theory_Rev!F18)&lt;=0.000000000001*MAX(1,ABS(Theory_Rev!F18)),0,1),IF(AND(NOT(ISNUMBER(V18)),NOT(ISNUMBER(Theory_Rev!F18))),0,1))</f>
        <v>0</v>
      </c>
      <c r="G90" s="87" t="n">
        <f aca="false">IF(AND(ISNUMBER(W18),ISNUMBER(Theory_Rev!G18)),IF(ABS(W18-Theory_Rev!G18)&lt;=0.000000000001*MAX(1,ABS(Theory_Rev!G18)),0,1),IF(AND(NOT(ISNUMBER(W18)),NOT(ISNUMBER(Theory_Rev!G18))),0,1))</f>
        <v>0</v>
      </c>
      <c r="H90" s="87" t="n">
        <f aca="false">IF(AND(ISNUMBER(X18),ISNUMBER(Theory_Rev!H18)),IF(ABS(X18-Theory_Rev!H18)&lt;=0.000000000001*MAX(1,ABS(Theory_Rev!H18)),0,1),IF(AND(NOT(ISNUMBER(X18)),NOT(ISNUMBER(Theory_Rev!H18))),0,1))</f>
        <v>0</v>
      </c>
      <c r="I90" s="87" t="n">
        <f aca="false">IF(AND(ISNUMBER(Y18),ISNUMBER(Theory_Rev!I18)),IF(ABS(Y18-Theory_Rev!I18)&lt;=0.000000000001*MAX(1,ABS(Theory_Rev!I18)),0,1),IF(AND(NOT(ISNUMBER(Y18)),NOT(ISNUMBER(Theory_Rev!I18))),0,1))</f>
        <v>0</v>
      </c>
      <c r="J90" s="87" t="n">
        <f aca="false">IF(AND(ISNUMBER(Z18),ISNUMBER(Theory_Rev!J18)),IF(ABS(Z18-Theory_Rev!J18)&lt;=0.000000000001*MAX(1,ABS(Theory_Rev!J18)),0,1),IF(AND(NOT(ISNUMBER(Z18)),NOT(ISNUMBER(Theory_Rev!J18))),0,1))</f>
        <v>0</v>
      </c>
      <c r="K90" s="87" t="n">
        <f aca="false">IF(AND(ISNUMBER(AA18),ISNUMBER(Theory_Rev!K18)),IF(ABS(AA18-Theory_Rev!K18)&lt;=0.000000000001*MAX(1,ABS(Theory_Rev!K18)),0,1),IF(AND(NOT(ISNUMBER(AA18)),NOT(ISNUMBER(Theory_Rev!K18))),0,1))</f>
        <v>0</v>
      </c>
      <c r="L90" s="87" t="n">
        <f aca="false">IF(AND(ISNUMBER(AB18),ISNUMBER(Theory_Rev!L18)),IF(ABS(AB18-Theory_Rev!L18)&lt;=0.000000000001*MAX(1,ABS(Theory_Rev!L18)),0,1),IF(AND(NOT(ISNUMBER(AB18)),NOT(ISNUMBER(Theory_Rev!L18))),0,1))</f>
        <v>0</v>
      </c>
      <c r="M90" s="87" t="n">
        <f aca="false">IF(AND(ISNUMBER(AC18),ISNUMBER(Theory_Rev!M18)),IF(ABS(AC18-Theory_Rev!M18)&lt;=0.000000000001*MAX(1,ABS(Theory_Rev!M18)),0,1),IF(AND(NOT(ISNUMBER(AC18)),NOT(ISNUMBER(Theory_Rev!M18))),0,1))</f>
        <v>0</v>
      </c>
      <c r="N90" s="87" t="n">
        <f aca="false">IF(AND(ISNUMBER(AD18),ISNUMBER(Theory_Rev!N18)),IF(ABS(AD18-Theory_Rev!N18)&lt;=0.000000000001*MAX(1,ABS(Theory_Rev!N18)),0,1),IF(AND(NOT(ISNUMBER(AD18)),NOT(ISNUMBER(Theory_Rev!N18))),0,1))</f>
        <v>0</v>
      </c>
      <c r="O90" s="87" t="n">
        <f aca="false">IF(AND(ISNUMBER(AE18),ISNUMBER(Theory_Rev!O18)),IF(ABS(AE18-Theory_Rev!O18)&lt;=0.000000000001*MAX(1,ABS(Theory_Rev!O18)),0,1),IF(AND(NOT(ISNUMBER(AE18)),NOT(ISNUMBER(Theory_Rev!O18))),0,1))</f>
        <v>0</v>
      </c>
      <c r="P90" s="87" t="n">
        <f aca="false">IF(AND(ISNUMBER(AF18),ISNUMBER(Theory_Rev!P18)),IF(ABS(AF18-Theory_Rev!P18)&lt;=0.000000000001*MAX(1,ABS(Theory_Rev!P18)),0,1),IF(AND(NOT(ISNUMBER(AF18)),NOT(ISNUMBER(Theory_Rev!P18))),0,1))</f>
        <v>0</v>
      </c>
      <c r="Q90" s="87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6" t="s">
        <v>2351</v>
      </c>
      <c r="C91" s="87" t="n">
        <f aca="false">IF(AND(ISNUMBER(S36),ISNUMBER(Theory_Rev!C36)),IF(ABS(S36-Theory_Rev!C36)&lt;=0.000000000001*MAX(1,ABS(Theory_Rev!C36)),0,1),IF(AND(NOT(ISNUMBER(S36)),NOT(ISNUMBER(Theory_Rev!C36))),0,1))</f>
        <v>0</v>
      </c>
      <c r="D91" s="87" t="n">
        <f aca="false">IF(AND(ISNUMBER(T36),ISNUMBER(Theory_Rev!D36)),IF(ABS(T36-Theory_Rev!D36)&lt;=0.000000000001*MAX(1,ABS(Theory_Rev!D36)),0,1),IF(AND(NOT(ISNUMBER(T36)),NOT(ISNUMBER(Theory_Rev!D36))),0,1))</f>
        <v>0</v>
      </c>
      <c r="E91" s="87" t="n">
        <f aca="false">IF(AND(ISNUMBER(U36),ISNUMBER(Theory_Rev!E36)),IF(ABS(U36-Theory_Rev!E36)&lt;=0.000000000001*MAX(1,ABS(Theory_Rev!E36)),0,1),IF(AND(NOT(ISNUMBER(U36)),NOT(ISNUMBER(Theory_Rev!E36))),0,1))</f>
        <v>0</v>
      </c>
      <c r="F91" s="87" t="n">
        <f aca="false">IF(AND(ISNUMBER(V36),ISNUMBER(Theory_Rev!F36)),IF(ABS(V36-Theory_Rev!F36)&lt;=0.000000000001*MAX(1,ABS(Theory_Rev!F36)),0,1),IF(AND(NOT(ISNUMBER(V36)),NOT(ISNUMBER(Theory_Rev!F36))),0,1))</f>
        <v>0</v>
      </c>
      <c r="G91" s="87" t="n">
        <f aca="false">IF(AND(ISNUMBER(W36),ISNUMBER(Theory_Rev!G36)),IF(ABS(W36-Theory_Rev!G36)&lt;=0.000000000001*MAX(1,ABS(Theory_Rev!G36)),0,1),IF(AND(NOT(ISNUMBER(W36)),NOT(ISNUMBER(Theory_Rev!G36))),0,1))</f>
        <v>0</v>
      </c>
      <c r="H91" s="87" t="n">
        <f aca="false">IF(AND(ISNUMBER(X36),ISNUMBER(Theory_Rev!H36)),IF(ABS(X36-Theory_Rev!H36)&lt;=0.000000000001*MAX(1,ABS(Theory_Rev!H36)),0,1),IF(AND(NOT(ISNUMBER(X36)),NOT(ISNUMBER(Theory_Rev!H36))),0,1))</f>
        <v>0</v>
      </c>
      <c r="I91" s="87" t="n">
        <f aca="false">IF(AND(ISNUMBER(Y36),ISNUMBER(Theory_Rev!I36)),IF(ABS(Y36-Theory_Rev!I36)&lt;=0.000000000001*MAX(1,ABS(Theory_Rev!I36)),0,1),IF(AND(NOT(ISNUMBER(Y36)),NOT(ISNUMBER(Theory_Rev!I36))),0,1))</f>
        <v>0</v>
      </c>
      <c r="J91" s="87" t="n">
        <f aca="false">IF(AND(ISNUMBER(Z36),ISNUMBER(Theory_Rev!J36)),IF(ABS(Z36-Theory_Rev!J36)&lt;=0.000000000001*MAX(1,ABS(Theory_Rev!J36)),0,1),IF(AND(NOT(ISNUMBER(Z36)),NOT(ISNUMBER(Theory_Rev!J36))),0,1))</f>
        <v>0</v>
      </c>
      <c r="K91" s="87" t="n">
        <f aca="false">IF(AND(ISNUMBER(AA36),ISNUMBER(Theory_Rev!K36)),IF(ABS(AA36-Theory_Rev!K36)&lt;=0.000000000001*MAX(1,ABS(Theory_Rev!K36)),0,1),IF(AND(NOT(ISNUMBER(AA36)),NOT(ISNUMBER(Theory_Rev!K36))),0,1))</f>
        <v>0</v>
      </c>
      <c r="L91" s="87" t="n">
        <f aca="false">IF(AND(ISNUMBER(AB36),ISNUMBER(Theory_Rev!L36)),IF(ABS(AB36-Theory_Rev!L36)&lt;=0.000000000001*MAX(1,ABS(Theory_Rev!L36)),0,1),IF(AND(NOT(ISNUMBER(AB36)),NOT(ISNUMBER(Theory_Rev!L36))),0,1))</f>
        <v>0</v>
      </c>
      <c r="M91" s="87" t="n">
        <f aca="false">IF(AND(ISNUMBER(AC36),ISNUMBER(Theory_Rev!M36)),IF(ABS(AC36-Theory_Rev!M36)&lt;=0.000000000001*MAX(1,ABS(Theory_Rev!M36)),0,1),IF(AND(NOT(ISNUMBER(AC36)),NOT(ISNUMBER(Theory_Rev!M36))),0,1))</f>
        <v>0</v>
      </c>
      <c r="N91" s="87" t="n">
        <f aca="false">IF(AND(ISNUMBER(AD36),ISNUMBER(Theory_Rev!N36)),IF(ABS(AD36-Theory_Rev!N36)&lt;=0.000000000001*MAX(1,ABS(Theory_Rev!N36)),0,1),IF(AND(NOT(ISNUMBER(AD36)),NOT(ISNUMBER(Theory_Rev!N36))),0,1))</f>
        <v>0</v>
      </c>
      <c r="O91" s="87" t="n">
        <f aca="false">IF(AND(ISNUMBER(AE36),ISNUMBER(Theory_Rev!O36)),IF(ABS(AE36-Theory_Rev!O36)&lt;=0.000000000001*MAX(1,ABS(Theory_Rev!O36)),0,1),IF(AND(NOT(ISNUMBER(AE36)),NOT(ISNUMBER(Theory_Rev!O36))),0,1))</f>
        <v>0</v>
      </c>
      <c r="P91" s="87" t="n">
        <f aca="false">IF(AND(ISNUMBER(AF36),ISNUMBER(Theory_Rev!P36)),IF(ABS(AF36-Theory_Rev!P36)&lt;=0.000000000001*MAX(1,ABS(Theory_Rev!P36)),0,1),IF(AND(NOT(ISNUMBER(AF36)),NOT(ISNUMBER(Theory_Rev!P36))),0,1))</f>
        <v>0</v>
      </c>
      <c r="Q91" s="87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6" t="s">
        <v>2352</v>
      </c>
      <c r="C92" s="87" t="n">
        <f aca="false">IF(AND(ISNUMBER(S54),ISNUMBER(Theory_Rev!C54)),IF(ABS(S54-Theory_Rev!C54)&lt;=0.000000000001*MAX(1,ABS(Theory_Rev!C54)),0,1),IF(AND(NOT(ISNUMBER(S54)),NOT(ISNUMBER(Theory_Rev!C54))),0,1))</f>
        <v>0</v>
      </c>
      <c r="D92" s="87" t="n">
        <f aca="false">IF(AND(ISNUMBER(T54),ISNUMBER(Theory_Rev!D54)),IF(ABS(T54-Theory_Rev!D54)&lt;=0.000000000001*MAX(1,ABS(Theory_Rev!D54)),0,1),IF(AND(NOT(ISNUMBER(T54)),NOT(ISNUMBER(Theory_Rev!D54))),0,1))</f>
        <v>0</v>
      </c>
      <c r="E92" s="87" t="n">
        <f aca="false">IF(AND(ISNUMBER(U54),ISNUMBER(Theory_Rev!E54)),IF(ABS(U54-Theory_Rev!E54)&lt;=0.000000000001*MAX(1,ABS(Theory_Rev!E54)),0,1),IF(AND(NOT(ISNUMBER(U54)),NOT(ISNUMBER(Theory_Rev!E54))),0,1))</f>
        <v>0</v>
      </c>
      <c r="F92" s="87" t="n">
        <f aca="false">IF(AND(ISNUMBER(V54),ISNUMBER(Theory_Rev!F54)),IF(ABS(V54-Theory_Rev!F54)&lt;=0.000000000001*MAX(1,ABS(Theory_Rev!F54)),0,1),IF(AND(NOT(ISNUMBER(V54)),NOT(ISNUMBER(Theory_Rev!F54))),0,1))</f>
        <v>0</v>
      </c>
      <c r="G92" s="87" t="n">
        <f aca="false">IF(AND(ISNUMBER(W54),ISNUMBER(Theory_Rev!G54)),IF(ABS(W54-Theory_Rev!G54)&lt;=0.000000000001*MAX(1,ABS(Theory_Rev!G54)),0,1),IF(AND(NOT(ISNUMBER(W54)),NOT(ISNUMBER(Theory_Rev!G54))),0,1))</f>
        <v>0</v>
      </c>
      <c r="H92" s="87" t="n">
        <f aca="false">IF(AND(ISNUMBER(X54),ISNUMBER(Theory_Rev!H54)),IF(ABS(X54-Theory_Rev!H54)&lt;=0.000000000001*MAX(1,ABS(Theory_Rev!H54)),0,1),IF(AND(NOT(ISNUMBER(X54)),NOT(ISNUMBER(Theory_Rev!H54))),0,1))</f>
        <v>0</v>
      </c>
      <c r="I92" s="87" t="n">
        <f aca="false">IF(AND(ISNUMBER(Y54),ISNUMBER(Theory_Rev!I54)),IF(ABS(Y54-Theory_Rev!I54)&lt;=0.000000000001*MAX(1,ABS(Theory_Rev!I54)),0,1),IF(AND(NOT(ISNUMBER(Y54)),NOT(ISNUMBER(Theory_Rev!I54))),0,1))</f>
        <v>0</v>
      </c>
      <c r="J92" s="87" t="n">
        <f aca="false">IF(AND(ISNUMBER(Z54),ISNUMBER(Theory_Rev!J54)),IF(ABS(Z54-Theory_Rev!J54)&lt;=0.000000000001*MAX(1,ABS(Theory_Rev!J54)),0,1),IF(AND(NOT(ISNUMBER(Z54)),NOT(ISNUMBER(Theory_Rev!J54))),0,1))</f>
        <v>0</v>
      </c>
      <c r="K92" s="87" t="n">
        <f aca="false">IF(AND(ISNUMBER(AA54),ISNUMBER(Theory_Rev!K54)),IF(ABS(AA54-Theory_Rev!K54)&lt;=0.000000000001*MAX(1,ABS(Theory_Rev!K54)),0,1),IF(AND(NOT(ISNUMBER(AA54)),NOT(ISNUMBER(Theory_Rev!K54))),0,1))</f>
        <v>0</v>
      </c>
      <c r="L92" s="87" t="n">
        <f aca="false">IF(AND(ISNUMBER(AB54),ISNUMBER(Theory_Rev!L54)),IF(ABS(AB54-Theory_Rev!L54)&lt;=0.000000000001*MAX(1,ABS(Theory_Rev!L54)),0,1),IF(AND(NOT(ISNUMBER(AB54)),NOT(ISNUMBER(Theory_Rev!L54))),0,1))</f>
        <v>0</v>
      </c>
      <c r="M92" s="87" t="n">
        <f aca="false">IF(AND(ISNUMBER(AC54),ISNUMBER(Theory_Rev!M54)),IF(ABS(AC54-Theory_Rev!M54)&lt;=0.000000000001*MAX(1,ABS(Theory_Rev!M54)),0,1),IF(AND(NOT(ISNUMBER(AC54)),NOT(ISNUMBER(Theory_Rev!M54))),0,1))</f>
        <v>0</v>
      </c>
      <c r="N92" s="87" t="n">
        <f aca="false">IF(AND(ISNUMBER(AD54),ISNUMBER(Theory_Rev!N54)),IF(ABS(AD54-Theory_Rev!N54)&lt;=0.000000000001*MAX(1,ABS(Theory_Rev!N54)),0,1),IF(AND(NOT(ISNUMBER(AD54)),NOT(ISNUMBER(Theory_Rev!N54))),0,1))</f>
        <v>0</v>
      </c>
      <c r="O92" s="87" t="n">
        <f aca="false">IF(AND(ISNUMBER(AE54),ISNUMBER(Theory_Rev!O54)),IF(ABS(AE54-Theory_Rev!O54)&lt;=0.000000000001*MAX(1,ABS(Theory_Rev!O54)),0,1),IF(AND(NOT(ISNUMBER(AE54)),NOT(ISNUMBER(Theory_Rev!O54))),0,1))</f>
        <v>0</v>
      </c>
      <c r="P92" s="87" t="n">
        <f aca="false">IF(AND(ISNUMBER(AF54),ISNUMBER(Theory_Rev!P54)),IF(ABS(AF54-Theory_Rev!P54)&lt;=0.000000000001*MAX(1,ABS(Theory_Rev!P54)),0,1),IF(AND(NOT(ISNUMBER(AF54)),NOT(ISNUMBER(Theory_Rev!P54))),0,1))</f>
        <v>0</v>
      </c>
      <c r="Q92" s="87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6" t="s">
        <v>2353</v>
      </c>
      <c r="C93" s="87" t="n">
        <f aca="false">IF(AND(ISNUMBER(S11),ISNUMBER(Theory_Rev!C11)),IF(ABS(S11-Theory_Rev!C11)&lt;=0.000000000001*MAX(1,ABS(Theory_Rev!C11)),0,1),IF(AND(NOT(ISNUMBER(S11)),NOT(ISNUMBER(Theory_Rev!C11))),0,1))</f>
        <v>0</v>
      </c>
      <c r="D93" s="87" t="n">
        <f aca="false">IF(AND(ISNUMBER(T11),ISNUMBER(Theory_Rev!D11)),IF(ABS(T11-Theory_Rev!D11)&lt;=0.000000000001*MAX(1,ABS(Theory_Rev!D11)),0,1),IF(AND(NOT(ISNUMBER(T11)),NOT(ISNUMBER(Theory_Rev!D11))),0,1))</f>
        <v>0</v>
      </c>
      <c r="E93" s="87" t="n">
        <f aca="false">IF(AND(ISNUMBER(U11),ISNUMBER(Theory_Rev!E11)),IF(ABS(U11-Theory_Rev!E11)&lt;=0.000000000001*MAX(1,ABS(Theory_Rev!E11)),0,1),IF(AND(NOT(ISNUMBER(U11)),NOT(ISNUMBER(Theory_Rev!E11))),0,1))</f>
        <v>0</v>
      </c>
      <c r="F93" s="87" t="n">
        <f aca="false">IF(AND(ISNUMBER(V11),ISNUMBER(Theory_Rev!F11)),IF(ABS(V11-Theory_Rev!F11)&lt;=0.000000000001*MAX(1,ABS(Theory_Rev!F11)),0,1),IF(AND(NOT(ISNUMBER(V11)),NOT(ISNUMBER(Theory_Rev!F11))),0,1))</f>
        <v>0</v>
      </c>
      <c r="G93" s="87" t="n">
        <f aca="false">IF(AND(ISNUMBER(W11),ISNUMBER(Theory_Rev!G11)),IF(ABS(W11-Theory_Rev!G11)&lt;=0.000000000001*MAX(1,ABS(Theory_Rev!G11)),0,1),IF(AND(NOT(ISNUMBER(W11)),NOT(ISNUMBER(Theory_Rev!G11))),0,1))</f>
        <v>0</v>
      </c>
      <c r="H93" s="87" t="n">
        <f aca="false">IF(AND(ISNUMBER(X11),ISNUMBER(Theory_Rev!H11)),IF(ABS(X11-Theory_Rev!H11)&lt;=0.000000000001*MAX(1,ABS(Theory_Rev!H11)),0,1),IF(AND(NOT(ISNUMBER(X11)),NOT(ISNUMBER(Theory_Rev!H11))),0,1))</f>
        <v>0</v>
      </c>
      <c r="I93" s="87" t="n">
        <f aca="false">IF(AND(ISNUMBER(Y11),ISNUMBER(Theory_Rev!I11)),IF(ABS(Y11-Theory_Rev!I11)&lt;=0.000000000001*MAX(1,ABS(Theory_Rev!I11)),0,1),IF(AND(NOT(ISNUMBER(Y11)),NOT(ISNUMBER(Theory_Rev!I11))),0,1))</f>
        <v>0</v>
      </c>
      <c r="J93" s="87" t="n">
        <f aca="false">IF(AND(ISNUMBER(Z11),ISNUMBER(Theory_Rev!J11)),IF(ABS(Z11-Theory_Rev!J11)&lt;=0.000000000001*MAX(1,ABS(Theory_Rev!J11)),0,1),IF(AND(NOT(ISNUMBER(Z11)),NOT(ISNUMBER(Theory_Rev!J11))),0,1))</f>
        <v>0</v>
      </c>
      <c r="K93" s="87" t="n">
        <f aca="false">IF(AND(ISNUMBER(AA11),ISNUMBER(Theory_Rev!K11)),IF(ABS(AA11-Theory_Rev!K11)&lt;=0.000000000001*MAX(1,ABS(Theory_Rev!K11)),0,1),IF(AND(NOT(ISNUMBER(AA11)),NOT(ISNUMBER(Theory_Rev!K11))),0,1))</f>
        <v>0</v>
      </c>
      <c r="L93" s="87" t="n">
        <f aca="false">IF(AND(ISNUMBER(AB11),ISNUMBER(Theory_Rev!L11)),IF(ABS(AB11-Theory_Rev!L11)&lt;=0.000000000001*MAX(1,ABS(Theory_Rev!L11)),0,1),IF(AND(NOT(ISNUMBER(AB11)),NOT(ISNUMBER(Theory_Rev!L11))),0,1))</f>
        <v>0</v>
      </c>
      <c r="M93" s="87" t="n">
        <f aca="false">IF(AND(ISNUMBER(AC11),ISNUMBER(Theory_Rev!M11)),IF(ABS(AC11-Theory_Rev!M11)&lt;=0.000000000001*MAX(1,ABS(Theory_Rev!M11)),0,1),IF(AND(NOT(ISNUMBER(AC11)),NOT(ISNUMBER(Theory_Rev!M11))),0,1))</f>
        <v>0</v>
      </c>
      <c r="N93" s="87" t="n">
        <f aca="false">IF(AND(ISNUMBER(AD11),ISNUMBER(Theory_Rev!N11)),IF(ABS(AD11-Theory_Rev!N11)&lt;=0.000000000001*MAX(1,ABS(Theory_Rev!N11)),0,1),IF(AND(NOT(ISNUMBER(AD11)),NOT(ISNUMBER(Theory_Rev!N11))),0,1))</f>
        <v>0</v>
      </c>
      <c r="O93" s="87" t="n">
        <f aca="false">IF(AND(ISNUMBER(AE11),ISNUMBER(Theory_Rev!O11)),IF(ABS(AE11-Theory_Rev!O11)&lt;=0.000000000001*MAX(1,ABS(Theory_Rev!O11)),0,1),IF(AND(NOT(ISNUMBER(AE11)),NOT(ISNUMBER(Theory_Rev!O11))),0,1))</f>
        <v>0</v>
      </c>
      <c r="P93" s="87" t="n">
        <f aca="false">IF(AND(ISNUMBER(AF11),ISNUMBER(Theory_Rev!P11)),IF(ABS(AF11-Theory_Rev!P11)&lt;=0.000000000001*MAX(1,ABS(Theory_Rev!P11)),0,1),IF(AND(NOT(ISNUMBER(AF11)),NOT(ISNUMBER(Theory_Rev!P11))),0,1))</f>
        <v>0</v>
      </c>
      <c r="Q93" s="87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6" t="s">
        <v>2354</v>
      </c>
      <c r="C94" s="87" t="n">
        <f aca="false">IF(AND(ISNUMBER(S29),ISNUMBER(Theory_Rev!C29)),IF(ABS(S29-Theory_Rev!C29)&lt;=0.000000000001*MAX(1,ABS(Theory_Rev!C29)),0,1),IF(AND(NOT(ISNUMBER(S29)),NOT(ISNUMBER(Theory_Rev!C29))),0,1))</f>
        <v>0</v>
      </c>
      <c r="D94" s="87" t="n">
        <f aca="false">IF(AND(ISNUMBER(T29),ISNUMBER(Theory_Rev!D29)),IF(ABS(T29-Theory_Rev!D29)&lt;=0.000000000001*MAX(1,ABS(Theory_Rev!D29)),0,1),IF(AND(NOT(ISNUMBER(T29)),NOT(ISNUMBER(Theory_Rev!D29))),0,1))</f>
        <v>0</v>
      </c>
      <c r="E94" s="87" t="n">
        <f aca="false">IF(AND(ISNUMBER(U29),ISNUMBER(Theory_Rev!E29)),IF(ABS(U29-Theory_Rev!E29)&lt;=0.000000000001*MAX(1,ABS(Theory_Rev!E29)),0,1),IF(AND(NOT(ISNUMBER(U29)),NOT(ISNUMBER(Theory_Rev!E29))),0,1))</f>
        <v>0</v>
      </c>
      <c r="F94" s="87" t="n">
        <f aca="false">IF(AND(ISNUMBER(V29),ISNUMBER(Theory_Rev!F29)),IF(ABS(V29-Theory_Rev!F29)&lt;=0.000000000001*MAX(1,ABS(Theory_Rev!F29)),0,1),IF(AND(NOT(ISNUMBER(V29)),NOT(ISNUMBER(Theory_Rev!F29))),0,1))</f>
        <v>0</v>
      </c>
      <c r="G94" s="87" t="n">
        <f aca="false">IF(AND(ISNUMBER(W29),ISNUMBER(Theory_Rev!G29)),IF(ABS(W29-Theory_Rev!G29)&lt;=0.000000000001*MAX(1,ABS(Theory_Rev!G29)),0,1),IF(AND(NOT(ISNUMBER(W29)),NOT(ISNUMBER(Theory_Rev!G29))),0,1))</f>
        <v>0</v>
      </c>
      <c r="H94" s="87" t="n">
        <f aca="false">IF(AND(ISNUMBER(X29),ISNUMBER(Theory_Rev!H29)),IF(ABS(X29-Theory_Rev!H29)&lt;=0.000000000001*MAX(1,ABS(Theory_Rev!H29)),0,1),IF(AND(NOT(ISNUMBER(X29)),NOT(ISNUMBER(Theory_Rev!H29))),0,1))</f>
        <v>0</v>
      </c>
      <c r="I94" s="87" t="n">
        <f aca="false">IF(AND(ISNUMBER(Y29),ISNUMBER(Theory_Rev!I29)),IF(ABS(Y29-Theory_Rev!I29)&lt;=0.000000000001*MAX(1,ABS(Theory_Rev!I29)),0,1),IF(AND(NOT(ISNUMBER(Y29)),NOT(ISNUMBER(Theory_Rev!I29))),0,1))</f>
        <v>0</v>
      </c>
      <c r="J94" s="87" t="n">
        <f aca="false">IF(AND(ISNUMBER(Z29),ISNUMBER(Theory_Rev!J29)),IF(ABS(Z29-Theory_Rev!J29)&lt;=0.000000000001*MAX(1,ABS(Theory_Rev!J29)),0,1),IF(AND(NOT(ISNUMBER(Z29)),NOT(ISNUMBER(Theory_Rev!J29))),0,1))</f>
        <v>0</v>
      </c>
      <c r="K94" s="87" t="n">
        <f aca="false">IF(AND(ISNUMBER(AA29),ISNUMBER(Theory_Rev!K29)),IF(ABS(AA29-Theory_Rev!K29)&lt;=0.000000000001*MAX(1,ABS(Theory_Rev!K29)),0,1),IF(AND(NOT(ISNUMBER(AA29)),NOT(ISNUMBER(Theory_Rev!K29))),0,1))</f>
        <v>0</v>
      </c>
      <c r="L94" s="87" t="n">
        <f aca="false">IF(AND(ISNUMBER(AB29),ISNUMBER(Theory_Rev!L29)),IF(ABS(AB29-Theory_Rev!L29)&lt;=0.000000000001*MAX(1,ABS(Theory_Rev!L29)),0,1),IF(AND(NOT(ISNUMBER(AB29)),NOT(ISNUMBER(Theory_Rev!L29))),0,1))</f>
        <v>0</v>
      </c>
      <c r="M94" s="87" t="n">
        <f aca="false">IF(AND(ISNUMBER(AC29),ISNUMBER(Theory_Rev!M29)),IF(ABS(AC29-Theory_Rev!M29)&lt;=0.000000000001*MAX(1,ABS(Theory_Rev!M29)),0,1),IF(AND(NOT(ISNUMBER(AC29)),NOT(ISNUMBER(Theory_Rev!M29))),0,1))</f>
        <v>0</v>
      </c>
      <c r="N94" s="87" t="n">
        <f aca="false">IF(AND(ISNUMBER(AD29),ISNUMBER(Theory_Rev!N29)),IF(ABS(AD29-Theory_Rev!N29)&lt;=0.000000000001*MAX(1,ABS(Theory_Rev!N29)),0,1),IF(AND(NOT(ISNUMBER(AD29)),NOT(ISNUMBER(Theory_Rev!N29))),0,1))</f>
        <v>0</v>
      </c>
      <c r="O94" s="87" t="n">
        <f aca="false">IF(AND(ISNUMBER(AE29),ISNUMBER(Theory_Rev!O29)),IF(ABS(AE29-Theory_Rev!O29)&lt;=0.000000000001*MAX(1,ABS(Theory_Rev!O29)),0,1),IF(AND(NOT(ISNUMBER(AE29)),NOT(ISNUMBER(Theory_Rev!O29))),0,1))</f>
        <v>0</v>
      </c>
      <c r="P94" s="87" t="n">
        <f aca="false">IF(AND(ISNUMBER(AF29),ISNUMBER(Theory_Rev!P29)),IF(ABS(AF29-Theory_Rev!P29)&lt;=0.000000000001*MAX(1,ABS(Theory_Rev!P29)),0,1),IF(AND(NOT(ISNUMBER(AF29)),NOT(ISNUMBER(Theory_Rev!P29))),0,1))</f>
        <v>0</v>
      </c>
      <c r="Q94" s="87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6" t="s">
        <v>2355</v>
      </c>
      <c r="C95" s="87" t="n">
        <f aca="false">IF(AND(ISNUMBER(S47),ISNUMBER(Theory_Rev!C47)),IF(ABS(S47-Theory_Rev!C47)&lt;=0.000000000001*MAX(1,ABS(Theory_Rev!C47)),0,1),IF(AND(NOT(ISNUMBER(S47)),NOT(ISNUMBER(Theory_Rev!C47))),0,1))</f>
        <v>0</v>
      </c>
      <c r="D95" s="87" t="n">
        <f aca="false">IF(AND(ISNUMBER(T47),ISNUMBER(Theory_Rev!D47)),IF(ABS(T47-Theory_Rev!D47)&lt;=0.000000000001*MAX(1,ABS(Theory_Rev!D47)),0,1),IF(AND(NOT(ISNUMBER(T47)),NOT(ISNUMBER(Theory_Rev!D47))),0,1))</f>
        <v>0</v>
      </c>
      <c r="E95" s="87" t="n">
        <f aca="false">IF(AND(ISNUMBER(U47),ISNUMBER(Theory_Rev!E47)),IF(ABS(U47-Theory_Rev!E47)&lt;=0.000000000001*MAX(1,ABS(Theory_Rev!E47)),0,1),IF(AND(NOT(ISNUMBER(U47)),NOT(ISNUMBER(Theory_Rev!E47))),0,1))</f>
        <v>0</v>
      </c>
      <c r="F95" s="87" t="n">
        <f aca="false">IF(AND(ISNUMBER(V47),ISNUMBER(Theory_Rev!F47)),IF(ABS(V47-Theory_Rev!F47)&lt;=0.000000000001*MAX(1,ABS(Theory_Rev!F47)),0,1),IF(AND(NOT(ISNUMBER(V47)),NOT(ISNUMBER(Theory_Rev!F47))),0,1))</f>
        <v>0</v>
      </c>
      <c r="G95" s="87" t="n">
        <f aca="false">IF(AND(ISNUMBER(W47),ISNUMBER(Theory_Rev!G47)),IF(ABS(W47-Theory_Rev!G47)&lt;=0.000000000001*MAX(1,ABS(Theory_Rev!G47)),0,1),IF(AND(NOT(ISNUMBER(W47)),NOT(ISNUMBER(Theory_Rev!G47))),0,1))</f>
        <v>0</v>
      </c>
      <c r="H95" s="87" t="n">
        <f aca="false">IF(AND(ISNUMBER(X47),ISNUMBER(Theory_Rev!H47)),IF(ABS(X47-Theory_Rev!H47)&lt;=0.000000000001*MAX(1,ABS(Theory_Rev!H47)),0,1),IF(AND(NOT(ISNUMBER(X47)),NOT(ISNUMBER(Theory_Rev!H47))),0,1))</f>
        <v>0</v>
      </c>
      <c r="I95" s="87" t="n">
        <f aca="false">IF(AND(ISNUMBER(Y47),ISNUMBER(Theory_Rev!I47)),IF(ABS(Y47-Theory_Rev!I47)&lt;=0.000000000001*MAX(1,ABS(Theory_Rev!I47)),0,1),IF(AND(NOT(ISNUMBER(Y47)),NOT(ISNUMBER(Theory_Rev!I47))),0,1))</f>
        <v>0</v>
      </c>
      <c r="J95" s="87" t="n">
        <f aca="false">IF(AND(ISNUMBER(Z47),ISNUMBER(Theory_Rev!J47)),IF(ABS(Z47-Theory_Rev!J47)&lt;=0.000000000001*MAX(1,ABS(Theory_Rev!J47)),0,1),IF(AND(NOT(ISNUMBER(Z47)),NOT(ISNUMBER(Theory_Rev!J47))),0,1))</f>
        <v>0</v>
      </c>
      <c r="K95" s="87" t="n">
        <f aca="false">IF(AND(ISNUMBER(AA47),ISNUMBER(Theory_Rev!K47)),IF(ABS(AA47-Theory_Rev!K47)&lt;=0.000000000001*MAX(1,ABS(Theory_Rev!K47)),0,1),IF(AND(NOT(ISNUMBER(AA47)),NOT(ISNUMBER(Theory_Rev!K47))),0,1))</f>
        <v>0</v>
      </c>
      <c r="L95" s="87" t="n">
        <f aca="false">IF(AND(ISNUMBER(AB47),ISNUMBER(Theory_Rev!L47)),IF(ABS(AB47-Theory_Rev!L47)&lt;=0.000000000001*MAX(1,ABS(Theory_Rev!L47)),0,1),IF(AND(NOT(ISNUMBER(AB47)),NOT(ISNUMBER(Theory_Rev!L47))),0,1))</f>
        <v>0</v>
      </c>
      <c r="M95" s="87" t="n">
        <f aca="false">IF(AND(ISNUMBER(AC47),ISNUMBER(Theory_Rev!M47)),IF(ABS(AC47-Theory_Rev!M47)&lt;=0.000000000001*MAX(1,ABS(Theory_Rev!M47)),0,1),IF(AND(NOT(ISNUMBER(AC47)),NOT(ISNUMBER(Theory_Rev!M47))),0,1))</f>
        <v>0</v>
      </c>
      <c r="N95" s="87" t="n">
        <f aca="false">IF(AND(ISNUMBER(AD47),ISNUMBER(Theory_Rev!N47)),IF(ABS(AD47-Theory_Rev!N47)&lt;=0.000000000001*MAX(1,ABS(Theory_Rev!N47)),0,1),IF(AND(NOT(ISNUMBER(AD47)),NOT(ISNUMBER(Theory_Rev!N47))),0,1))</f>
        <v>0</v>
      </c>
      <c r="O95" s="87" t="n">
        <f aca="false">IF(AND(ISNUMBER(AE47),ISNUMBER(Theory_Rev!O47)),IF(ABS(AE47-Theory_Rev!O47)&lt;=0.000000000001*MAX(1,ABS(Theory_Rev!O47)),0,1),IF(AND(NOT(ISNUMBER(AE47)),NOT(ISNUMBER(Theory_Rev!O47))),0,1))</f>
        <v>0</v>
      </c>
      <c r="P95" s="87" t="n">
        <f aca="false">IF(AND(ISNUMBER(AF47),ISNUMBER(Theory_Rev!P47)),IF(ABS(AF47-Theory_Rev!P47)&lt;=0.000000000001*MAX(1,ABS(Theory_Rev!P47)),0,1),IF(AND(NOT(ISNUMBER(AF47)),NOT(ISNUMBER(Theory_Rev!P47))),0,1))</f>
        <v>0</v>
      </c>
      <c r="Q95" s="87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6" t="s">
        <v>2356</v>
      </c>
      <c r="C96" s="87" t="n">
        <f aca="false">IF(AND(ISNUMBER(S67),ISNUMBER(Theory_Rev!C67)),IF(ABS(S67-Theory_Rev!C67)&lt;=0.000000000001*MAX(1,ABS(Theory_Rev!C67)),0,1),IF(AND(NOT(ISNUMBER(S67)),NOT(ISNUMBER(Theory_Rev!C67))),0,1))</f>
        <v>0</v>
      </c>
      <c r="D96" s="87" t="n">
        <f aca="false">IF(AND(ISNUMBER(T67),ISNUMBER(Theory_Rev!D67)),IF(ABS(T67-Theory_Rev!D67)&lt;=0.000000000001*MAX(1,ABS(Theory_Rev!D67)),0,1),IF(AND(NOT(ISNUMBER(T67)),NOT(ISNUMBER(Theory_Rev!D67))),0,1))</f>
        <v>0</v>
      </c>
      <c r="E96" s="87" t="n">
        <f aca="false">IF(AND(ISNUMBER(U67),ISNUMBER(Theory_Rev!E67)),IF(ABS(U67-Theory_Rev!E67)&lt;=0.000000000001*MAX(1,ABS(Theory_Rev!E67)),0,1),IF(AND(NOT(ISNUMBER(U67)),NOT(ISNUMBER(Theory_Rev!E67))),0,1))</f>
        <v>0</v>
      </c>
      <c r="F96" s="87" t="n">
        <f aca="false">IF(AND(ISNUMBER(V67),ISNUMBER(Theory_Rev!F67)),IF(ABS(V67-Theory_Rev!F67)&lt;=0.000000000001*MAX(1,ABS(Theory_Rev!F67)),0,1),IF(AND(NOT(ISNUMBER(V67)),NOT(ISNUMBER(Theory_Rev!F67))),0,1))</f>
        <v>0</v>
      </c>
      <c r="G96" s="87" t="n">
        <f aca="false">IF(AND(ISNUMBER(W67),ISNUMBER(Theory_Rev!G67)),IF(ABS(W67-Theory_Rev!G67)&lt;=0.000000000001*MAX(1,ABS(Theory_Rev!G67)),0,1),IF(AND(NOT(ISNUMBER(W67)),NOT(ISNUMBER(Theory_Rev!G67))),0,1))</f>
        <v>0</v>
      </c>
      <c r="H96" s="87" t="n">
        <f aca="false">IF(AND(ISNUMBER(X67),ISNUMBER(Theory_Rev!H67)),IF(ABS(X67-Theory_Rev!H67)&lt;=0.000000000001*MAX(1,ABS(Theory_Rev!H67)),0,1),IF(AND(NOT(ISNUMBER(X67)),NOT(ISNUMBER(Theory_Rev!H67))),0,1))</f>
        <v>0</v>
      </c>
      <c r="I96" s="87" t="n">
        <f aca="false">IF(AND(ISNUMBER(Y67),ISNUMBER(Theory_Rev!I67)),IF(ABS(Y67-Theory_Rev!I67)&lt;=0.000000000001*MAX(1,ABS(Theory_Rev!I67)),0,1),IF(AND(NOT(ISNUMBER(Y67)),NOT(ISNUMBER(Theory_Rev!I67))),0,1))</f>
        <v>0</v>
      </c>
      <c r="J96" s="87" t="n">
        <f aca="false">IF(AND(ISNUMBER(Z67),ISNUMBER(Theory_Rev!J67)),IF(ABS(Z67-Theory_Rev!J67)&lt;=0.000000000001*MAX(1,ABS(Theory_Rev!J67)),0,1),IF(AND(NOT(ISNUMBER(Z67)),NOT(ISNUMBER(Theory_Rev!J67))),0,1))</f>
        <v>0</v>
      </c>
      <c r="K96" s="87" t="n">
        <f aca="false">IF(AND(ISNUMBER(AA67),ISNUMBER(Theory_Rev!K67)),IF(ABS(AA67-Theory_Rev!K67)&lt;=0.000000000001*MAX(1,ABS(Theory_Rev!K67)),0,1),IF(AND(NOT(ISNUMBER(AA67)),NOT(ISNUMBER(Theory_Rev!K67))),0,1))</f>
        <v>0</v>
      </c>
      <c r="L96" s="87" t="n">
        <f aca="false">IF(AND(ISNUMBER(AB67),ISNUMBER(Theory_Rev!L67)),IF(ABS(AB67-Theory_Rev!L67)&lt;=0.000000000001*MAX(1,ABS(Theory_Rev!L67)),0,1),IF(AND(NOT(ISNUMBER(AB67)),NOT(ISNUMBER(Theory_Rev!L67))),0,1))</f>
        <v>0</v>
      </c>
      <c r="M96" s="87" t="n">
        <f aca="false">IF(AND(ISNUMBER(AC67),ISNUMBER(Theory_Rev!M67)),IF(ABS(AC67-Theory_Rev!M67)&lt;=0.000000000001*MAX(1,ABS(Theory_Rev!M67)),0,1),IF(AND(NOT(ISNUMBER(AC67)),NOT(ISNUMBER(Theory_Rev!M67))),0,1))</f>
        <v>0</v>
      </c>
      <c r="N96" s="87" t="n">
        <f aca="false">IF(AND(ISNUMBER(AD67),ISNUMBER(Theory_Rev!N67)),IF(ABS(AD67-Theory_Rev!N67)&lt;=0.000000000001*MAX(1,ABS(Theory_Rev!N67)),0,1),IF(AND(NOT(ISNUMBER(AD67)),NOT(ISNUMBER(Theory_Rev!N67))),0,1))</f>
        <v>0</v>
      </c>
      <c r="O96" s="87" t="n">
        <f aca="false">IF(AND(ISNUMBER(AE67),ISNUMBER(Theory_Rev!O67)),IF(ABS(AE67-Theory_Rev!O67)&lt;=0.000000000001*MAX(1,ABS(Theory_Rev!O67)),0,1),IF(AND(NOT(ISNUMBER(AE67)),NOT(ISNUMBER(Theory_Rev!O67))),0,1))</f>
        <v>0</v>
      </c>
      <c r="P96" s="87" t="n">
        <f aca="false">IF(AND(ISNUMBER(AF67),ISNUMBER(Theory_Rev!P67)),IF(ABS(AF67-Theory_Rev!P67)&lt;=0.000000000001*MAX(1,ABS(Theory_Rev!P67)),0,1),IF(AND(NOT(ISNUMBER(AF67)),NOT(ISNUMBER(Theory_Rev!P67))),0,1))</f>
        <v>0</v>
      </c>
      <c r="Q96" s="87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2357</v>
      </c>
    </row>
    <row r="2" customFormat="false" ht="15" hidden="false" customHeight="true" outlineLevel="0" collapsed="false">
      <c r="A2" s="3" t="s">
        <v>2358</v>
      </c>
    </row>
    <row r="3" customFormat="false" ht="15" hidden="false" customHeight="true" outlineLevel="0" collapsed="false">
      <c r="A3" s="42" t="s">
        <v>2359</v>
      </c>
    </row>
    <row r="4" customFormat="false" ht="15" hidden="false" customHeight="true" outlineLevel="0" collapsed="false">
      <c r="A4" s="20" t="s">
        <v>2360</v>
      </c>
      <c r="B4" s="20" t="s">
        <v>77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  <c r="R4" s="82" t="s">
        <v>2361</v>
      </c>
      <c r="S4" s="82" t="s">
        <v>2362</v>
      </c>
      <c r="T4" s="81" t="s">
        <v>2363</v>
      </c>
      <c r="U4" s="81" t="s">
        <v>2364</v>
      </c>
      <c r="V4" s="81" t="s">
        <v>2365</v>
      </c>
      <c r="W4" s="81" t="s">
        <v>2366</v>
      </c>
      <c r="X4" s="81" t="s">
        <v>2367</v>
      </c>
      <c r="Y4" s="81" t="s">
        <v>2368</v>
      </c>
    </row>
    <row r="5" customFormat="false" ht="15" hidden="false" customHeight="true" outlineLevel="0" collapsed="false">
      <c r="A5" s="20" t="s">
        <v>28</v>
      </c>
      <c r="C5" s="34" t="s">
        <v>78</v>
      </c>
      <c r="D5" s="34" t="s">
        <v>79</v>
      </c>
      <c r="E5" s="34" t="s">
        <v>80</v>
      </c>
      <c r="F5" s="34" t="s">
        <v>78</v>
      </c>
      <c r="G5" s="34" t="s">
        <v>79</v>
      </c>
      <c r="H5" s="34" t="s">
        <v>80</v>
      </c>
      <c r="I5" s="34" t="s">
        <v>78</v>
      </c>
      <c r="J5" s="34" t="s">
        <v>79</v>
      </c>
      <c r="K5" s="34" t="s">
        <v>80</v>
      </c>
      <c r="L5" s="34" t="s">
        <v>78</v>
      </c>
      <c r="M5" s="34" t="s">
        <v>79</v>
      </c>
      <c r="N5" s="34" t="s">
        <v>80</v>
      </c>
      <c r="O5" s="34" t="s">
        <v>78</v>
      </c>
      <c r="P5" s="34" t="s">
        <v>79</v>
      </c>
      <c r="Q5" s="34" t="s">
        <v>80</v>
      </c>
    </row>
    <row r="6" customFormat="false" ht="15" hidden="false" customHeight="true" outlineLevel="0" collapsed="false">
      <c r="A6" s="20" t="s">
        <v>2369</v>
      </c>
      <c r="B6" s="21" t="s">
        <v>729</v>
      </c>
      <c r="C6" s="27" t="n">
        <f aca="false">(DC_Cost!C12)/CTL_GW</f>
        <v>22439</v>
      </c>
      <c r="D6" s="174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4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4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4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4" t="n">
        <f aca="false">(DC_Cost!P12)/CTL_GW</f>
        <v>2705</v>
      </c>
      <c r="Q6" s="27" t="n">
        <f aca="false">(DC_Cost!Q12)/CTL_GW</f>
        <v>2705</v>
      </c>
      <c r="R6" s="175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28" t="s">
        <v>608</v>
      </c>
      <c r="U6" s="41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2" t="s">
        <v>2370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2371</v>
      </c>
      <c r="B7" s="21" t="s">
        <v>723</v>
      </c>
      <c r="C7" s="27" t="n">
        <f aca="false">(DC_Cost!C14)/CTL_GW</f>
        <v>718048</v>
      </c>
      <c r="D7" s="174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4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4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4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4" t="n">
        <f aca="false">(DC_Cost!P14)/CTL_GW</f>
        <v>194760</v>
      </c>
      <c r="Q7" s="27" t="n">
        <f aca="false">(DC_Cost!Q14)/CTL_GW</f>
        <v>194760</v>
      </c>
      <c r="R7" s="175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28" t="s">
        <v>608</v>
      </c>
      <c r="U7" s="41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2" t="s">
        <v>2372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2373</v>
      </c>
      <c r="B8" s="16" t="s">
        <v>85</v>
      </c>
      <c r="C8" s="128" t="n">
        <f aca="false">(DC_Cost!C16/1000)/CTL_GW</f>
        <v>1.1</v>
      </c>
      <c r="D8" s="176" t="n">
        <f aca="false">(DC_Cost!D16/1000)/CTL_GW</f>
        <v>1.2</v>
      </c>
      <c r="E8" s="128" t="n">
        <f aca="false">(DC_Cost!E16/1000)/CTL_GW</f>
        <v>1.3</v>
      </c>
      <c r="F8" s="128" t="n">
        <f aca="false">(DC_Cost!F16/1000)/CTL_GW</f>
        <v>1.1</v>
      </c>
      <c r="G8" s="176" t="n">
        <f aca="false">(DC_Cost!G16/1000)/CTL_GW</f>
        <v>1.2</v>
      </c>
      <c r="H8" s="128" t="n">
        <f aca="false">(DC_Cost!H16/1000)/CTL_GW</f>
        <v>1.3</v>
      </c>
      <c r="I8" s="128" t="n">
        <f aca="false">(DC_Cost!I16/1000)/CTL_GW</f>
        <v>1.1</v>
      </c>
      <c r="J8" s="176" t="n">
        <f aca="false">(DC_Cost!J16/1000)/CTL_GW</f>
        <v>1.2</v>
      </c>
      <c r="K8" s="128" t="n">
        <f aca="false">(DC_Cost!K16/1000)/CTL_GW</f>
        <v>1.3</v>
      </c>
      <c r="L8" s="128" t="n">
        <f aca="false">(DC_Cost!L16/1000)/CTL_GW</f>
        <v>1.1</v>
      </c>
      <c r="M8" s="176" t="n">
        <f aca="false">(DC_Cost!M16/1000)/CTL_GW</f>
        <v>1.2</v>
      </c>
      <c r="N8" s="128" t="n">
        <f aca="false">(DC_Cost!N16/1000)/CTL_GW</f>
        <v>1.3</v>
      </c>
      <c r="O8" s="128" t="n">
        <f aca="false">(DC_Cost!O16/1000)/CTL_GW</f>
        <v>1.1</v>
      </c>
      <c r="P8" s="176" t="n">
        <f aca="false">(DC_Cost!P16/1000)/CTL_GW</f>
        <v>1.2</v>
      </c>
      <c r="Q8" s="128" t="n">
        <f aca="false">(DC_Cost!Q16/1000)/CTL_GW</f>
        <v>1.3</v>
      </c>
      <c r="R8" s="175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28" t="s">
        <v>608</v>
      </c>
      <c r="U8" s="41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2" t="s">
        <v>2374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2375</v>
      </c>
      <c r="B9" s="16" t="s">
        <v>867</v>
      </c>
      <c r="C9" s="36" t="n">
        <f aca="false">(DC_Cost!C24)/CTL_GW</f>
        <v>21.4202694</v>
      </c>
      <c r="D9" s="177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7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7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7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7" t="n">
        <f aca="false">(DC_Cost!P24)/CTL_GW</f>
        <v>50.08578</v>
      </c>
      <c r="Q9" s="36" t="n">
        <f aca="false">(DC_Cost!Q24)/CTL_GW</f>
        <v>65.481558</v>
      </c>
      <c r="R9" s="175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28" t="s">
        <v>608</v>
      </c>
      <c r="U9" s="41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2" t="s">
        <v>2376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2377</v>
      </c>
      <c r="B10" s="16" t="s">
        <v>867</v>
      </c>
      <c r="C10" s="36" t="n">
        <f aca="false">(DC_Cost!C32)/CTL_GW</f>
        <v>10.212</v>
      </c>
      <c r="D10" s="177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7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7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7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7" t="n">
        <f aca="false">(DC_Cost!P32)/CTL_GW</f>
        <v>12.67</v>
      </c>
      <c r="Q10" s="36" t="n">
        <f aca="false">(DC_Cost!Q32)/CTL_GW</f>
        <v>16.186</v>
      </c>
      <c r="R10" s="175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28" t="s">
        <v>608</v>
      </c>
      <c r="U10" s="41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2" t="s">
        <v>2378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2379</v>
      </c>
      <c r="B11" s="16" t="s">
        <v>867</v>
      </c>
      <c r="C11" s="36" t="n">
        <f aca="false">(DC_Cost!C33)/CTL_GW</f>
        <v>31.6322694</v>
      </c>
      <c r="D11" s="177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7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7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7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7" t="n">
        <f aca="false">(DC_Cost!P33)/CTL_GW</f>
        <v>62.75578</v>
      </c>
      <c r="Q11" s="36" t="n">
        <f aca="false">(DC_Cost!Q33)/CTL_GW</f>
        <v>81.667558</v>
      </c>
      <c r="R11" s="175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28" t="s">
        <v>608</v>
      </c>
      <c r="U11" s="41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2" t="s">
        <v>2380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2381</v>
      </c>
      <c r="B12" s="16" t="s">
        <v>2382</v>
      </c>
      <c r="C12" s="178" t="n">
        <f aca="false">(DC_Cost!C49)/CTL_GW</f>
        <v>5.19000377241587</v>
      </c>
      <c r="D12" s="179" t="n">
        <f aca="false">(DC_Cost!D49)/CTL_GW</f>
        <v>7.10411981353067</v>
      </c>
      <c r="E12" s="178" t="n">
        <f aca="false">(DC_Cost!E49)/CTL_GW</f>
        <v>12.2070705365445</v>
      </c>
      <c r="F12" s="178" t="n">
        <f aca="false">(DC_Cost!F49)/CTL_GW</f>
        <v>5.04951503784896</v>
      </c>
      <c r="G12" s="179" t="n">
        <f aca="false">(DC_Cost!G49)/CTL_GW</f>
        <v>6.44917840537967</v>
      </c>
      <c r="H12" s="178" t="n">
        <f aca="false">(DC_Cost!H49)/CTL_GW</f>
        <v>10.4195985807088</v>
      </c>
      <c r="I12" s="178" t="n">
        <f aca="false">(DC_Cost!I49)/CTL_GW</f>
        <v>6.47360284700915</v>
      </c>
      <c r="J12" s="179" t="n">
        <f aca="false">(DC_Cost!J49)/CTL_GW</f>
        <v>7.98992214647791</v>
      </c>
      <c r="K12" s="178" t="n">
        <f aca="false">(DC_Cost!K49)/CTL_GW</f>
        <v>13.6330236684808</v>
      </c>
      <c r="L12" s="178" t="n">
        <f aca="false">(DC_Cost!L49)/CTL_GW</f>
        <v>7.32251312176997</v>
      </c>
      <c r="M12" s="179" t="n">
        <f aca="false">(DC_Cost!M49)/CTL_GW</f>
        <v>8.9923042149807</v>
      </c>
      <c r="N12" s="178" t="n">
        <f aca="false">(DC_Cost!N49)/CTL_GW</f>
        <v>14.5598263108425</v>
      </c>
      <c r="O12" s="178" t="n">
        <f aca="false">(DC_Cost!O49)/CTL_GW</f>
        <v>7.78527570436843</v>
      </c>
      <c r="P12" s="179" t="n">
        <f aca="false">(DC_Cost!P49)/CTL_GW</f>
        <v>11.3345929943372</v>
      </c>
      <c r="Q12" s="178" t="n">
        <f aca="false">(DC_Cost!Q49)/CTL_GW</f>
        <v>20.8704255692031</v>
      </c>
      <c r="R12" s="175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28" t="s">
        <v>608</v>
      </c>
      <c r="U12" s="41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2" t="s">
        <v>2383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2384</v>
      </c>
      <c r="B13" s="16" t="s">
        <v>2382</v>
      </c>
      <c r="C13" s="178" t="n">
        <f aca="false">(DC_Cost!C55)/CTL_GW</f>
        <v>6.79107465326444</v>
      </c>
      <c r="D13" s="179" t="n">
        <f aca="false">(DC_Cost!D55)/CTL_GW</f>
        <v>9.70308728611469</v>
      </c>
      <c r="E13" s="178" t="n">
        <f aca="false">(DC_Cost!E55)/CTL_GW</f>
        <v>16.6637697337026</v>
      </c>
      <c r="F13" s="178" t="n">
        <f aca="false">(DC_Cost!F55)/CTL_GW</f>
        <v>6.6118162762144</v>
      </c>
      <c r="G13" s="179" t="n">
        <f aca="false">(DC_Cost!G55)/CTL_GW</f>
        <v>8.82816556596761</v>
      </c>
      <c r="H13" s="178" t="n">
        <f aca="false">(DC_Cost!H55)/CTL_GW</f>
        <v>14.3185748619737</v>
      </c>
      <c r="I13" s="178" t="n">
        <f aca="false">(DC_Cost!I55)/CTL_GW</f>
        <v>8.42889912085495</v>
      </c>
      <c r="J13" s="179" t="n">
        <f aca="false">(DC_Cost!J55)/CTL_GW</f>
        <v>10.8864110021101</v>
      </c>
      <c r="K13" s="178" t="n">
        <f aca="false">(DC_Cost!K55)/CTL_GW</f>
        <v>18.5346455040469</v>
      </c>
      <c r="L13" s="178" t="n">
        <f aca="false">(DC_Cost!L55)/CTL_GW</f>
        <v>9.51207691858967</v>
      </c>
      <c r="M13" s="179" t="n">
        <f aca="false">(DC_Cost!M55)/CTL_GW</f>
        <v>12.2254710045841</v>
      </c>
      <c r="N13" s="178" t="n">
        <f aca="false">(DC_Cost!N55)/CTL_GW</f>
        <v>19.7506269894487</v>
      </c>
      <c r="O13" s="178" t="n">
        <f aca="false">(DC_Cost!O55)/CTL_GW</f>
        <v>10.1025446864987</v>
      </c>
      <c r="P13" s="179" t="n">
        <f aca="false">(DC_Cost!P55)/CTL_GW</f>
        <v>15.3544827030524</v>
      </c>
      <c r="Q13" s="178" t="n">
        <f aca="false">(DC_Cost!Q55)/CTL_GW</f>
        <v>28.0302450108258</v>
      </c>
      <c r="R13" s="175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28" t="s">
        <v>608</v>
      </c>
      <c r="U13" s="41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2" t="s">
        <v>2383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899</v>
      </c>
      <c r="B14" s="16" t="s">
        <v>840</v>
      </c>
      <c r="C14" s="178" t="n">
        <f aca="false">DC_Cost!C58</f>
        <v>1.07964486018265</v>
      </c>
      <c r="D14" s="179" t="n">
        <f aca="false">DC_Cost!D58</f>
        <v>1.54259654785589</v>
      </c>
      <c r="E14" s="178" t="n">
        <f aca="false">DC_Cost!E58</f>
        <v>2.64920565047995</v>
      </c>
      <c r="F14" s="178" t="n">
        <f aca="false">DC_Cost!F58</f>
        <v>1.50422814430785</v>
      </c>
      <c r="G14" s="179" t="n">
        <f aca="false">DC_Cost!G58</f>
        <v>2.00846099652078</v>
      </c>
      <c r="H14" s="178" t="n">
        <f aca="false">DC_Cost!H58</f>
        <v>3.25756227849869</v>
      </c>
      <c r="I14" s="178" t="n">
        <f aca="false">DC_Cost!I58</f>
        <v>1.97574392204647</v>
      </c>
      <c r="J14" s="179" t="n">
        <f aca="false">DC_Cost!J58</f>
        <v>2.55178761329595</v>
      </c>
      <c r="K14" s="178" t="n">
        <f aca="false">DC_Cost!K58</f>
        <v>4.34454282544458</v>
      </c>
      <c r="L14" s="178" t="n">
        <f aca="false">DC_Cost!L58</f>
        <v>3.72193954123947</v>
      </c>
      <c r="M14" s="179" t="n">
        <f aca="false">DC_Cost!M58</f>
        <v>4.78365180724219</v>
      </c>
      <c r="N14" s="178" t="n">
        <f aca="false">DC_Cost!N58</f>
        <v>7.72813762813851</v>
      </c>
      <c r="O14" s="178" t="n">
        <f aca="false">DC_Cost!O58</f>
        <v>5.92143420546319</v>
      </c>
      <c r="P14" s="179" t="n">
        <f aca="false">DC_Cost!P58</f>
        <v>8.99976806898525</v>
      </c>
      <c r="Q14" s="178" t="n">
        <f aca="false">DC_Cost!Q58</f>
        <v>16.4294498807254</v>
      </c>
      <c r="R14" s="175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28" t="s">
        <v>608</v>
      </c>
      <c r="U14" s="41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2" t="s">
        <v>2383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2385</v>
      </c>
      <c r="B15" s="16" t="s">
        <v>2382</v>
      </c>
      <c r="C15" s="178" t="n">
        <f aca="false">(DC_Cost!C43)/CTL_GW</f>
        <v>0.404712</v>
      </c>
      <c r="D15" s="179" t="n">
        <f aca="false">(DC_Cost!D43)/CTL_GW</f>
        <v>0.672768</v>
      </c>
      <c r="E15" s="178" t="n">
        <f aca="false">(DC_Cost!E43)/CTL_GW</f>
        <v>1.02492</v>
      </c>
      <c r="F15" s="178" t="n">
        <f aca="false">(DC_Cost!F43)/CTL_GW</f>
        <v>0.404712</v>
      </c>
      <c r="G15" s="179" t="n">
        <f aca="false">(DC_Cost!G43)/CTL_GW</f>
        <v>0.672768</v>
      </c>
      <c r="H15" s="178" t="n">
        <f aca="false">(DC_Cost!H43)/CTL_GW</f>
        <v>1.02492</v>
      </c>
      <c r="I15" s="178" t="n">
        <f aca="false">(DC_Cost!I43)/CTL_GW</f>
        <v>0.404712</v>
      </c>
      <c r="J15" s="179" t="n">
        <f aca="false">(DC_Cost!J43)/CTL_GW</f>
        <v>0.672768</v>
      </c>
      <c r="K15" s="178" t="n">
        <f aca="false">(DC_Cost!K43)/CTL_GW</f>
        <v>1.02492</v>
      </c>
      <c r="L15" s="178" t="n">
        <f aca="false">(DC_Cost!L43)/CTL_GW</f>
        <v>0.404712</v>
      </c>
      <c r="M15" s="179" t="n">
        <f aca="false">(DC_Cost!M43)/CTL_GW</f>
        <v>0.672768</v>
      </c>
      <c r="N15" s="178" t="n">
        <f aca="false">(DC_Cost!N43)/CTL_GW</f>
        <v>1.02492</v>
      </c>
      <c r="O15" s="178" t="n">
        <f aca="false">(DC_Cost!O43)/CTL_GW</f>
        <v>0.404712</v>
      </c>
      <c r="P15" s="179" t="n">
        <f aca="false">(DC_Cost!P43)/CTL_GW</f>
        <v>0.672768</v>
      </c>
      <c r="Q15" s="178" t="n">
        <f aca="false">(DC_Cost!Q43)/CTL_GW</f>
        <v>1.02492</v>
      </c>
      <c r="R15" s="175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28" t="s">
        <v>608</v>
      </c>
      <c r="U15" s="41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2" t="s">
        <v>2386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0" t="s">
        <v>2387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249</v>
      </c>
      <c r="C18" s="11"/>
    </row>
    <row r="19" customFormat="false" ht="15" hidden="false" customHeight="true" outlineLevel="0" collapsed="false">
      <c r="A19" s="181" t="s">
        <v>2388</v>
      </c>
      <c r="B19" s="28" t="s">
        <v>359</v>
      </c>
      <c r="C19" s="27" t="n">
        <f aca="false">INDEX(Perf!$C$95:$Q$95,3*(Unit_Cost!C$6-1)+1)</f>
        <v>104668.529421467</v>
      </c>
      <c r="D19" s="46" t="n">
        <f aca="false">INDEX(Perf!$C$95:$Q$95,3*(Unit_Cost!D$6-1)+1)</f>
        <v>104668.529421467</v>
      </c>
      <c r="E19" s="46" t="n">
        <f aca="false">INDEX(Perf!$C$95:$Q$95,3*(Unit_Cost!E$6-1)+1)</f>
        <v>104668.529421467</v>
      </c>
      <c r="F19" s="46" t="n">
        <f aca="false">INDEX(Perf!$C$95:$Q$95,3*(Unit_Cost!F$6-1)+1)</f>
        <v>1648540.14144621</v>
      </c>
      <c r="G19" s="46" t="n">
        <f aca="false">INDEX(Perf!$C$95:$Q$95,3*(Unit_Cost!G$6-1)+1)</f>
        <v>1648540.14144621</v>
      </c>
      <c r="H19" s="46" t="n">
        <f aca="false">INDEX(Perf!$C$95:$Q$95,3*(Unit_Cost!H$6-1)+1)</f>
        <v>1648540.14144621</v>
      </c>
      <c r="I19" s="46" t="n">
        <f aca="false">INDEX(Perf!$C$95:$Q$95,3*(Unit_Cost!I$6-1)+1)</f>
        <v>2472810.21216931</v>
      </c>
      <c r="J19" s="46" t="n">
        <f aca="false">INDEX(Perf!$C$95:$Q$95,3*(Unit_Cost!J$6-1)+1)</f>
        <v>2472810.21216931</v>
      </c>
      <c r="K19" s="46" t="n">
        <f aca="false">INDEX(Perf!$C$95:$Q$95,3*(Unit_Cost!K$6-1)+1)</f>
        <v>2472810.21216931</v>
      </c>
      <c r="L19" s="46" t="n">
        <f aca="false">INDEX(Perf!$C$95:$Q$95,3*(Unit_Cost!L$6-1)+1)</f>
        <v>6047542.53332882</v>
      </c>
      <c r="M19" s="46" t="n">
        <f aca="false">INDEX(Perf!$C$95:$Q$95,3*(Unit_Cost!M$6-1)+1)</f>
        <v>6047542.53332882</v>
      </c>
      <c r="N19" s="46" t="n">
        <f aca="false">INDEX(Perf!$C$95:$Q$95,3*(Unit_Cost!N$6-1)+1)</f>
        <v>6047542.53332882</v>
      </c>
      <c r="O19" s="46" t="n">
        <f aca="false">INDEX(Perf!$C$95:$Q$95,3*(Unit_Cost!O$6-1)+1)</f>
        <v>12242836.6707437</v>
      </c>
      <c r="P19" s="46" t="n">
        <f aca="false">INDEX(Perf!$C$95:$Q$95,3*(Unit_Cost!P$6-1)+1)</f>
        <v>12242836.6707437</v>
      </c>
      <c r="Q19" s="46" t="n">
        <f aca="false">INDEX(Perf!$C$95:$Q$95,3*(Unit_Cost!Q$6-1)+1)</f>
        <v>12242836.6707437</v>
      </c>
      <c r="R19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2389</v>
      </c>
      <c r="U19" s="41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2" t="s">
        <v>2390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1" t="s">
        <v>2391</v>
      </c>
      <c r="B20" s="28" t="s">
        <v>359</v>
      </c>
      <c r="C20" s="27" t="n">
        <f aca="false">INDEX(Perf!$C$96:$Q$96,3*(Unit_Cost!C$6-1)+1)</f>
        <v>11629.8366023852</v>
      </c>
      <c r="D20" s="46" t="n">
        <f aca="false">INDEX(Perf!$C$96:$Q$96,3*(Unit_Cost!D$6-1)+1)</f>
        <v>11629.8366023852</v>
      </c>
      <c r="E20" s="46" t="n">
        <f aca="false">INDEX(Perf!$C$96:$Q$96,3*(Unit_Cost!E$6-1)+1)</f>
        <v>11629.8366023852</v>
      </c>
      <c r="F20" s="46" t="n">
        <f aca="false">INDEX(Perf!$C$96:$Q$96,3*(Unit_Cost!F$6-1)+1)</f>
        <v>183171.126827357</v>
      </c>
      <c r="G20" s="46" t="n">
        <f aca="false">INDEX(Perf!$C$96:$Q$96,3*(Unit_Cost!G$6-1)+1)</f>
        <v>183171.126827357</v>
      </c>
      <c r="H20" s="46" t="n">
        <f aca="false">INDEX(Perf!$C$96:$Q$96,3*(Unit_Cost!H$6-1)+1)</f>
        <v>183171.126827357</v>
      </c>
      <c r="I20" s="46" t="n">
        <f aca="false">INDEX(Perf!$C$96:$Q$96,3*(Unit_Cost!I$6-1)+1)</f>
        <v>274756.690241035</v>
      </c>
      <c r="J20" s="46" t="n">
        <f aca="false">INDEX(Perf!$C$96:$Q$96,3*(Unit_Cost!J$6-1)+1)</f>
        <v>274756.690241035</v>
      </c>
      <c r="K20" s="46" t="n">
        <f aca="false">INDEX(Perf!$C$96:$Q$96,3*(Unit_Cost!K$6-1)+1)</f>
        <v>274756.690241035</v>
      </c>
      <c r="L20" s="46" t="n">
        <f aca="false">INDEX(Perf!$C$96:$Q$96,3*(Unit_Cost!L$6-1)+1)</f>
        <v>671949.170369869</v>
      </c>
      <c r="M20" s="46" t="n">
        <f aca="false">INDEX(Perf!$C$96:$Q$96,3*(Unit_Cost!M$6-1)+1)</f>
        <v>671949.170369869</v>
      </c>
      <c r="N20" s="46" t="n">
        <f aca="false">INDEX(Perf!$C$96:$Q$96,3*(Unit_Cost!N$6-1)+1)</f>
        <v>671949.170369869</v>
      </c>
      <c r="O20" s="46" t="n">
        <f aca="false">INDEX(Perf!$C$96:$Q$96,3*(Unit_Cost!O$6-1)+1)</f>
        <v>1360315.18563819</v>
      </c>
      <c r="P20" s="46" t="n">
        <f aca="false">INDEX(Perf!$C$96:$Q$96,3*(Unit_Cost!P$6-1)+1)</f>
        <v>1360315.18563819</v>
      </c>
      <c r="Q20" s="46" t="n">
        <f aca="false">INDEX(Perf!$C$96:$Q$96,3*(Unit_Cost!Q$6-1)+1)</f>
        <v>1360315.18563819</v>
      </c>
      <c r="R20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2389</v>
      </c>
      <c r="U20" s="41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2" t="s">
        <v>2390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1" t="s">
        <v>2330</v>
      </c>
      <c r="B21" s="28" t="s">
        <v>787</v>
      </c>
      <c r="C21" s="174" t="n">
        <f aca="false">INDEX(Perf!$C$98:$Q$98,3*(Unit_Cost!C$6-1)+1)</f>
        <v>74067251304.9223</v>
      </c>
      <c r="D21" s="182" t="n">
        <f aca="false">INDEX(Perf!$C$98:$Q$98,3*(Unit_Cost!D$6-1)+1)</f>
        <v>74067251304.9223</v>
      </c>
      <c r="E21" s="182" t="n">
        <f aca="false">INDEX(Perf!$C$98:$Q$98,3*(Unit_Cost!E$6-1)+1)</f>
        <v>74067251304.9223</v>
      </c>
      <c r="F21" s="182" t="n">
        <f aca="false">INDEX(Perf!$C$98:$Q$98,3*(Unit_Cost!F$6-1)+1)</f>
        <v>362306894085.614</v>
      </c>
      <c r="G21" s="182" t="n">
        <f aca="false">INDEX(Perf!$C$98:$Q$98,3*(Unit_Cost!G$6-1)+1)</f>
        <v>362306894085.614</v>
      </c>
      <c r="H21" s="182" t="n">
        <f aca="false">INDEX(Perf!$C$98:$Q$98,3*(Unit_Cost!H$6-1)+1)</f>
        <v>362306894085.614</v>
      </c>
      <c r="I21" s="182" t="n">
        <f aca="false">INDEX(Perf!$C$98:$Q$98,3*(Unit_Cost!I$6-1)+1)</f>
        <v>527473919843.971</v>
      </c>
      <c r="J21" s="182" t="n">
        <f aca="false">INDEX(Perf!$C$98:$Q$98,3*(Unit_Cost!J$6-1)+1)</f>
        <v>527473919843.971</v>
      </c>
      <c r="K21" s="182" t="n">
        <f aca="false">INDEX(Perf!$C$98:$Q$98,3*(Unit_Cost!K$6-1)+1)</f>
        <v>527473919843.971</v>
      </c>
      <c r="L21" s="182" t="n">
        <f aca="false">INDEX(Perf!$C$98:$Q$98,3*(Unit_Cost!L$6-1)+1)</f>
        <v>772778400993.445</v>
      </c>
      <c r="M21" s="182" t="n">
        <f aca="false">INDEX(Perf!$C$98:$Q$98,3*(Unit_Cost!M$6-1)+1)</f>
        <v>772778400993.445</v>
      </c>
      <c r="N21" s="182" t="n">
        <f aca="false">INDEX(Perf!$C$98:$Q$98,3*(Unit_Cost!N$6-1)+1)</f>
        <v>772778400993.445</v>
      </c>
      <c r="O21" s="182" t="n">
        <f aca="false">INDEX(Perf!$C$98:$Q$98,3*(Unit_Cost!O$6-1)+1)</f>
        <v>1044373713057.39</v>
      </c>
      <c r="P21" s="182" t="n">
        <f aca="false">INDEX(Perf!$C$98:$Q$98,3*(Unit_Cost!P$6-1)+1)</f>
        <v>1044373713057.39</v>
      </c>
      <c r="Q21" s="182" t="n">
        <f aca="false">INDEX(Perf!$C$98:$Q$98,3*(Unit_Cost!Q$6-1)+1)</f>
        <v>1044373713057.39</v>
      </c>
      <c r="R21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2389</v>
      </c>
      <c r="U21" s="41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2" t="s">
        <v>2392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2393</v>
      </c>
      <c r="B22" s="28" t="s">
        <v>97</v>
      </c>
      <c r="C22" s="128" t="n">
        <f aca="false">INDEX(Perf!$C$120:$Q$120,3*(Unit_Cost!C$6-1)+1)</f>
        <v>0.0958453952772297</v>
      </c>
      <c r="D22" s="183" t="n">
        <f aca="false">INDEX(Perf!$C$120:$Q$120,3*(Unit_Cost!D$6-1)+1)</f>
        <v>0.0958453952772297</v>
      </c>
      <c r="E22" s="183" t="n">
        <f aca="false">INDEX(Perf!$C$120:$Q$120,3*(Unit_Cost!E$6-1)+1)</f>
        <v>0.0958453952772297</v>
      </c>
      <c r="F22" s="183" t="n">
        <f aca="false">INDEX(Perf!$C$120:$Q$120,3*(Unit_Cost!F$6-1)+1)</f>
        <v>0.468836724240545</v>
      </c>
      <c r="G22" s="183" t="n">
        <f aca="false">INDEX(Perf!$C$120:$Q$120,3*(Unit_Cost!G$6-1)+1)</f>
        <v>0.468836724240545</v>
      </c>
      <c r="H22" s="183" t="n">
        <f aca="false">INDEX(Perf!$C$120:$Q$120,3*(Unit_Cost!H$6-1)+1)</f>
        <v>0.468836724240545</v>
      </c>
      <c r="I22" s="183" t="n">
        <f aca="false">INDEX(Perf!$C$120:$Q$120,3*(Unit_Cost!I$6-1)+1)</f>
        <v>0.682568145235267</v>
      </c>
      <c r="J22" s="183" t="n">
        <f aca="false">INDEX(Perf!$C$120:$Q$120,3*(Unit_Cost!J$6-1)+1)</f>
        <v>0.682568145235267</v>
      </c>
      <c r="K22" s="183" t="n">
        <f aca="false">INDEX(Perf!$C$120:$Q$120,3*(Unit_Cost!K$6-1)+1)</f>
        <v>0.682568145235267</v>
      </c>
      <c r="L22" s="183" t="n">
        <f aca="false">INDEX(Perf!$C$120:$Q$120,3*(Unit_Cost!L$6-1)+1)</f>
        <v>1</v>
      </c>
      <c r="M22" s="183" t="n">
        <f aca="false">INDEX(Perf!$C$120:$Q$120,3*(Unit_Cost!M$6-1)+1)</f>
        <v>1</v>
      </c>
      <c r="N22" s="183" t="n">
        <f aca="false">INDEX(Perf!$C$120:$Q$120,3*(Unit_Cost!N$6-1)+1)</f>
        <v>1</v>
      </c>
      <c r="O22" s="183" t="n">
        <f aca="false">INDEX(Perf!$C$120:$Q$120,3*(Unit_Cost!O$6-1)+1)</f>
        <v>1.35145303196207</v>
      </c>
      <c r="P22" s="183" t="n">
        <f aca="false">INDEX(Perf!$C$120:$Q$120,3*(Unit_Cost!P$6-1)+1)</f>
        <v>1.35145303196207</v>
      </c>
      <c r="Q22" s="183" t="n">
        <f aca="false">INDEX(Perf!$C$120:$Q$120,3*(Unit_Cost!Q$6-1)+1)</f>
        <v>1.35145303196207</v>
      </c>
      <c r="R22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2389</v>
      </c>
      <c r="U22" s="41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2" t="s">
        <v>2392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1" t="s">
        <v>2331</v>
      </c>
      <c r="B23" s="28" t="s">
        <v>795</v>
      </c>
      <c r="C23" s="43" t="n">
        <f aca="false">Unit_Cost!C16</f>
        <v>0.0386726342545921</v>
      </c>
      <c r="D23" s="43" t="n">
        <f aca="false">Unit_Cost!D16</f>
        <v>0.0552554588066438</v>
      </c>
      <c r="E23" s="43" t="n">
        <f aca="false">Unit_Cost!E16</f>
        <v>0.0948939461156487</v>
      </c>
      <c r="F23" s="43" t="n">
        <f aca="false">Unit_Cost!F16</f>
        <v>0.00532884190613242</v>
      </c>
      <c r="G23" s="43" t="n">
        <f aca="false">Unit_Cost!G16</f>
        <v>0.00711512490016412</v>
      </c>
      <c r="H23" s="43" t="n">
        <f aca="false">Unit_Cost!H16</f>
        <v>0.0115401606113995</v>
      </c>
      <c r="I23" s="43" t="n">
        <f aca="false">Unit_Cost!I16</f>
        <v>0.00466614812716556</v>
      </c>
      <c r="J23" s="43" t="n">
        <f aca="false">Unit_Cost!J16</f>
        <v>0.00602660034017561</v>
      </c>
      <c r="K23" s="43" t="n">
        <f aca="false">Unit_Cost!K16</f>
        <v>0.0102605809093624</v>
      </c>
      <c r="L23" s="43" t="n">
        <f aca="false">Unit_Cost!L16</f>
        <v>0.00376721490486678</v>
      </c>
      <c r="M23" s="43" t="n">
        <f aca="false">Unit_Cost!M16</f>
        <v>0.00484184232125769</v>
      </c>
      <c r="N23" s="43" t="n">
        <f aca="false">Unit_Cost!N16</f>
        <v>0.00782214620549421</v>
      </c>
      <c r="O23" s="43" t="n">
        <f aca="false">Unit_Cost!O16</f>
        <v>0.00299673261075866</v>
      </c>
      <c r="P23" s="43" t="n">
        <f aca="false">Unit_Cost!P16</f>
        <v>0.0045546226683917</v>
      </c>
      <c r="Q23" s="43" t="n">
        <f aca="false">Unit_Cost!Q16</f>
        <v>0.00831465258686319</v>
      </c>
      <c r="R23" s="17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2389</v>
      </c>
      <c r="U23" s="41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2" t="s">
        <v>2394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1" t="s">
        <v>2395</v>
      </c>
      <c r="B24" s="28" t="s">
        <v>795</v>
      </c>
      <c r="C24" s="184" t="n">
        <f aca="false">Unit_Cost!C17</f>
        <v>8.3822427339181E-006</v>
      </c>
      <c r="D24" s="184" t="n">
        <f aca="false">Unit_Cost!D17</f>
        <v>1.19765481979367E-005</v>
      </c>
      <c r="E24" s="184" t="n">
        <f aca="false">Unit_Cost!E17</f>
        <v>2.05681383141429E-005</v>
      </c>
      <c r="F24" s="184" t="n">
        <f aca="false">Unit_Cost!F17</f>
        <v>1.16786601759456E-005</v>
      </c>
      <c r="G24" s="184" t="n">
        <f aca="false">Unit_Cost!G17</f>
        <v>1.55934680146544E-005</v>
      </c>
      <c r="H24" s="184" t="n">
        <f aca="false">Unit_Cost!H17</f>
        <v>2.52913515788996E-005</v>
      </c>
      <c r="I24" s="184" t="n">
        <f aca="false">Unit_Cost!I17</f>
        <v>1.53394562836664E-005</v>
      </c>
      <c r="J24" s="184" t="n">
        <f aca="false">Unit_Cost!J17</f>
        <v>1.98117954976727E-005</v>
      </c>
      <c r="K24" s="184" t="n">
        <f aca="false">Unit_Cost!K17</f>
        <v>3.37305477697711E-005</v>
      </c>
      <c r="L24" s="184" t="n">
        <f aca="false">Unit_Cost!L17</f>
        <v>2.88967250493453E-005</v>
      </c>
      <c r="M24" s="184" t="n">
        <f aca="false">Unit_Cost!M17</f>
        <v>3.71397411145609E-005</v>
      </c>
      <c r="N24" s="184" t="n">
        <f aca="false">Unit_Cost!N17</f>
        <v>6.00004018629087E-005</v>
      </c>
      <c r="O24" s="184" t="n">
        <f aca="false">Unit_Cost!O17</f>
        <v>4.59733572340822E-005</v>
      </c>
      <c r="P24" s="184" t="n">
        <f aca="false">Unit_Cost!P17</f>
        <v>6.98731993133716E-005</v>
      </c>
      <c r="Q24" s="184" t="n">
        <f aca="false">Unit_Cost!Q17</f>
        <v>0.000127556423379521</v>
      </c>
      <c r="R24" s="175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2389</v>
      </c>
      <c r="U24" s="41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2" t="s">
        <v>2396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2332</v>
      </c>
      <c r="B25" s="28" t="s">
        <v>795</v>
      </c>
      <c r="C25" s="53" t="n">
        <f aca="false">Unit_Cost!C18</f>
        <v>0.515810502571941</v>
      </c>
      <c r="D25" s="53" t="n">
        <f aca="false">Unit_Cost!D18</f>
        <v>0.736990032519282</v>
      </c>
      <c r="E25" s="53" t="n">
        <f aca="false">Unit_Cost!E18</f>
        <v>1.26568295592989</v>
      </c>
      <c r="F25" s="53" t="n">
        <f aca="false">Unit_Cost!F18</f>
        <v>0.121612196523219</v>
      </c>
      <c r="G25" s="53" t="n">
        <f aca="false">Unit_Cost!G18</f>
        <v>0.162377864250437</v>
      </c>
      <c r="H25" s="53" t="n">
        <f aca="false">Unit_Cost!H18</f>
        <v>0.263363842445387</v>
      </c>
      <c r="I25" s="53" t="n">
        <f aca="false">Unit_Cost!I18</f>
        <v>0.106488526596046</v>
      </c>
      <c r="J25" s="53" t="n">
        <f aca="false">Unit_Cost!J18</f>
        <v>0.137536094679954</v>
      </c>
      <c r="K25" s="53" t="n">
        <f aca="false">Unit_Cost!K18</f>
        <v>0.234161906840545</v>
      </c>
      <c r="L25" s="53" t="n">
        <f aca="false">Unit_Cost!L18</f>
        <v>0.0806426702715034</v>
      </c>
      <c r="M25" s="53" t="n">
        <f aca="false">Unit_Cost!M18</f>
        <v>0.103646620561882</v>
      </c>
      <c r="N25" s="53" t="n">
        <f aca="false">Unit_Cost!N18</f>
        <v>0.167444325103472</v>
      </c>
      <c r="O25" s="53" t="n">
        <f aca="false">Unit_Cost!O18</f>
        <v>0.0630858774448701</v>
      </c>
      <c r="P25" s="53" t="n">
        <f aca="false">Unit_Cost!P18</f>
        <v>0.0958818836336032</v>
      </c>
      <c r="Q25" s="53" t="n">
        <f aca="false">Unit_Cost!Q18</f>
        <v>0.175036355331926</v>
      </c>
      <c r="R25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2389</v>
      </c>
      <c r="U25" s="41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2" t="s">
        <v>2397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2398</v>
      </c>
      <c r="B26" s="28" t="s">
        <v>795</v>
      </c>
      <c r="C26" s="43" t="n">
        <f aca="false">Unit_Cost!C22</f>
        <v>0.394202477646634</v>
      </c>
      <c r="D26" s="43" t="n">
        <f aca="false">Unit_Cost!D22</f>
        <v>0.539587590836907</v>
      </c>
      <c r="E26" s="43" t="n">
        <f aca="false">Unit_Cost!E22</f>
        <v>0.927178025551443</v>
      </c>
      <c r="F26" s="43" t="n">
        <f aca="false">Unit_Cost!F22</f>
        <v>0.0928765394372742</v>
      </c>
      <c r="G26" s="43" t="n">
        <f aca="false">Unit_Cost!G22</f>
        <v>0.118620772097041</v>
      </c>
      <c r="H26" s="43" t="n">
        <f aca="false">Unit_Cost!H22</f>
        <v>0.191649346768559</v>
      </c>
      <c r="I26" s="43" t="n">
        <f aca="false">Unit_Cost!I22</f>
        <v>0.0817858203143441</v>
      </c>
      <c r="J26" s="43" t="n">
        <f aca="false">Unit_Cost!J22</f>
        <v>0.10094260529117</v>
      </c>
      <c r="K26" s="43" t="n">
        <f aca="false">Unit_Cost!K22</f>
        <v>0.172236087143762</v>
      </c>
      <c r="L26" s="43" t="n">
        <f aca="false">Unit_Cost!L22</f>
        <v>0.0620797136410463</v>
      </c>
      <c r="M26" s="43" t="n">
        <f aca="false">Unit_Cost!M22</f>
        <v>0.0762360765157959</v>
      </c>
      <c r="N26" s="43" t="n">
        <f aca="false">Unit_Cost!N22</f>
        <v>0.123437108682434</v>
      </c>
      <c r="O26" s="43" t="n">
        <f aca="false">Unit_Cost!O22</f>
        <v>0.0486155680772872</v>
      </c>
      <c r="P26" s="43" t="n">
        <f aca="false">Unit_Cost!P22</f>
        <v>0.0707794686108994</v>
      </c>
      <c r="Q26" s="43" t="n">
        <f aca="false">Unit_Cost!Q22</f>
        <v>0.130326482142723</v>
      </c>
      <c r="R26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2389</v>
      </c>
      <c r="U26" s="41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2" t="s">
        <v>2397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2399</v>
      </c>
      <c r="B27" s="28" t="s">
        <v>811</v>
      </c>
      <c r="C27" s="48" t="n">
        <f aca="false">INDEX(Perf!$C$117:$Q$117,3*(Unit_Cost!C$6-1)+1)</f>
        <v>3.191113701874</v>
      </c>
      <c r="D27" s="48" t="n">
        <f aca="false">INDEX(Perf!$C$117:$Q$117,3*(Unit_Cost!D$6-1)+1)</f>
        <v>3.191113701874</v>
      </c>
      <c r="E27" s="48" t="n">
        <f aca="false">INDEX(Perf!$C$117:$Q$117,3*(Unit_Cost!E$6-1)+1)</f>
        <v>3.191113701874</v>
      </c>
      <c r="F27" s="48" t="n">
        <f aca="false">INDEX(Perf!$C$117:$Q$117,3*(Unit_Cost!F$6-1)+1)</f>
        <v>15.611175581877</v>
      </c>
      <c r="G27" s="48" t="n">
        <f aca="false">INDEX(Perf!$C$117:$Q$117,3*(Unit_Cost!G$6-1)+1)</f>
        <v>15.611175581877</v>
      </c>
      <c r="H27" s="48" t="n">
        <f aca="false">INDEX(Perf!$C$117:$Q$117,3*(Unit_Cost!H$6-1)+1)</f>
        <v>15.611175581877</v>
      </c>
      <c r="I27" s="48" t="n">
        <f aca="false">INDEX(Perf!$C$117:$Q$117,3*(Unit_Cost!I$6-1)+1)</f>
        <v>22.7280350383209</v>
      </c>
      <c r="J27" s="48" t="n">
        <f aca="false">INDEX(Perf!$C$117:$Q$117,3*(Unit_Cost!J$6-1)+1)</f>
        <v>22.7280350383209</v>
      </c>
      <c r="K27" s="48" t="n">
        <f aca="false">INDEX(Perf!$C$117:$Q$117,3*(Unit_Cost!K$6-1)+1)</f>
        <v>22.7280350383209</v>
      </c>
      <c r="L27" s="48" t="n">
        <f aca="false">INDEX(Perf!$C$117:$Q$117,3*(Unit_Cost!L$6-1)+1)</f>
        <v>33.3014456681102</v>
      </c>
      <c r="M27" s="48" t="n">
        <f aca="false">INDEX(Perf!$C$117:$Q$117,3*(Unit_Cost!M$6-1)+1)</f>
        <v>33.3014456681102</v>
      </c>
      <c r="N27" s="48" t="n">
        <f aca="false">INDEX(Perf!$C$117:$Q$117,3*(Unit_Cost!N$6-1)+1)</f>
        <v>33.3014456681102</v>
      </c>
      <c r="O27" s="48" t="n">
        <f aca="false">INDEX(Perf!$C$117:$Q$117,3*(Unit_Cost!O$6-1)+1)</f>
        <v>45.0104289365576</v>
      </c>
      <c r="P27" s="48" t="n">
        <f aca="false">INDEX(Perf!$C$117:$Q$117,3*(Unit_Cost!P$6-1)+1)</f>
        <v>45.0104289365576</v>
      </c>
      <c r="Q27" s="48" t="n">
        <f aca="false">INDEX(Perf!$C$117:$Q$117,3*(Unit_Cost!Q$6-1)+1)</f>
        <v>45.0104289365576</v>
      </c>
      <c r="R27" s="17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2389</v>
      </c>
      <c r="U27" s="41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2" t="s">
        <v>2400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250</v>
      </c>
    </row>
    <row r="29" customFormat="false" ht="15" hidden="false" customHeight="true" outlineLevel="0" collapsed="false">
      <c r="A29" s="41" t="s">
        <v>2401</v>
      </c>
      <c r="B29" s="28" t="s">
        <v>359</v>
      </c>
      <c r="C29" s="46" t="n">
        <f aca="false">INDEX(Perf!$C$95:$Q$95,3*(Unit_Cost!C$6-1)+2)</f>
        <v>30369.3148075447</v>
      </c>
      <c r="D29" s="46" t="n">
        <f aca="false">INDEX(Perf!$C$95:$Q$95,3*(Unit_Cost!D$6-1)+2)</f>
        <v>30369.3148075447</v>
      </c>
      <c r="E29" s="46" t="n">
        <f aca="false">INDEX(Perf!$C$95:$Q$95,3*(Unit_Cost!E$6-1)+2)</f>
        <v>30369.3148075447</v>
      </c>
      <c r="F29" s="46" t="n">
        <f aca="false">INDEX(Perf!$C$95:$Q$95,3*(Unit_Cost!F$6-1)+2)</f>
        <v>473783.155186397</v>
      </c>
      <c r="G29" s="46" t="n">
        <f aca="false">INDEX(Perf!$C$95:$Q$95,3*(Unit_Cost!G$6-1)+2)</f>
        <v>473783.155186397</v>
      </c>
      <c r="H29" s="46" t="n">
        <f aca="false">INDEX(Perf!$C$95:$Q$95,3*(Unit_Cost!H$6-1)+2)</f>
        <v>473783.155186397</v>
      </c>
      <c r="I29" s="46" t="n">
        <f aca="false">INDEX(Perf!$C$95:$Q$95,3*(Unit_Cost!I$6-1)+2)</f>
        <v>710674.732779595</v>
      </c>
      <c r="J29" s="46" t="n">
        <f aca="false">INDEX(Perf!$C$95:$Q$95,3*(Unit_Cost!J$6-1)+2)</f>
        <v>710674.732779595</v>
      </c>
      <c r="K29" s="46" t="n">
        <f aca="false">INDEX(Perf!$C$95:$Q$95,3*(Unit_Cost!K$6-1)+2)</f>
        <v>710674.732779595</v>
      </c>
      <c r="L29" s="46" t="n">
        <f aca="false">INDEX(Perf!$C$95:$Q$95,3*(Unit_Cost!L$6-1)+2)</f>
        <v>1856942.7817541</v>
      </c>
      <c r="M29" s="46" t="n">
        <f aca="false">INDEX(Perf!$C$95:$Q$95,3*(Unit_Cost!M$6-1)+2)</f>
        <v>1856942.7817541</v>
      </c>
      <c r="N29" s="46" t="n">
        <f aca="false">INDEX(Perf!$C$95:$Q$95,3*(Unit_Cost!N$6-1)+2)</f>
        <v>1856942.7817541</v>
      </c>
      <c r="O29" s="46" t="n">
        <f aca="false">INDEX(Perf!$C$95:$Q$95,3*(Unit_Cost!O$6-1)+2)</f>
        <v>3823763.31251331</v>
      </c>
      <c r="P29" s="46" t="n">
        <f aca="false">INDEX(Perf!$C$95:$Q$95,3*(Unit_Cost!P$6-1)+2)</f>
        <v>3823763.31251331</v>
      </c>
      <c r="Q29" s="46" t="n">
        <f aca="false">INDEX(Perf!$C$95:$Q$95,3*(Unit_Cost!Q$6-1)+2)</f>
        <v>3823763.31251331</v>
      </c>
      <c r="R29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2389</v>
      </c>
      <c r="U29" s="41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2" t="s">
        <v>2390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1" t="s">
        <v>2402</v>
      </c>
      <c r="B30" s="28" t="s">
        <v>359</v>
      </c>
      <c r="C30" s="46" t="n">
        <f aca="false">INDEX(Perf!$C$96:$Q$96,3*(Unit_Cost!C$6-1)+2)</f>
        <v>3374.36831194942</v>
      </c>
      <c r="D30" s="46" t="n">
        <f aca="false">INDEX(Perf!$C$96:$Q$96,3*(Unit_Cost!D$6-1)+2)</f>
        <v>3374.36831194942</v>
      </c>
      <c r="E30" s="46" t="n">
        <f aca="false">INDEX(Perf!$C$96:$Q$96,3*(Unit_Cost!E$6-1)+2)</f>
        <v>3374.36831194942</v>
      </c>
      <c r="F30" s="46" t="n">
        <f aca="false">INDEX(Perf!$C$96:$Q$96,3*(Unit_Cost!F$6-1)+2)</f>
        <v>52642.5727984885</v>
      </c>
      <c r="G30" s="46" t="n">
        <f aca="false">INDEX(Perf!$C$96:$Q$96,3*(Unit_Cost!G$6-1)+2)</f>
        <v>52642.5727984885</v>
      </c>
      <c r="H30" s="46" t="n">
        <f aca="false">INDEX(Perf!$C$96:$Q$96,3*(Unit_Cost!H$6-1)+2)</f>
        <v>52642.5727984885</v>
      </c>
      <c r="I30" s="46" t="n">
        <f aca="false">INDEX(Perf!$C$96:$Q$96,3*(Unit_Cost!I$6-1)+2)</f>
        <v>78963.8591977328</v>
      </c>
      <c r="J30" s="46" t="n">
        <f aca="false">INDEX(Perf!$C$96:$Q$96,3*(Unit_Cost!J$6-1)+2)</f>
        <v>78963.8591977328</v>
      </c>
      <c r="K30" s="46" t="n">
        <f aca="false">INDEX(Perf!$C$96:$Q$96,3*(Unit_Cost!K$6-1)+2)</f>
        <v>78963.8591977328</v>
      </c>
      <c r="L30" s="46" t="n">
        <f aca="false">INDEX(Perf!$C$96:$Q$96,3*(Unit_Cost!L$6-1)+2)</f>
        <v>206326.975750455</v>
      </c>
      <c r="M30" s="46" t="n">
        <f aca="false">INDEX(Perf!$C$96:$Q$96,3*(Unit_Cost!M$6-1)+2)</f>
        <v>206326.975750455</v>
      </c>
      <c r="N30" s="46" t="n">
        <f aca="false">INDEX(Perf!$C$96:$Q$96,3*(Unit_Cost!N$6-1)+2)</f>
        <v>206326.975750455</v>
      </c>
      <c r="O30" s="46" t="n">
        <f aca="false">INDEX(Perf!$C$96:$Q$96,3*(Unit_Cost!O$6-1)+2)</f>
        <v>424862.590279257</v>
      </c>
      <c r="P30" s="46" t="n">
        <f aca="false">INDEX(Perf!$C$96:$Q$96,3*(Unit_Cost!P$6-1)+2)</f>
        <v>424862.590279257</v>
      </c>
      <c r="Q30" s="46" t="n">
        <f aca="false">INDEX(Perf!$C$96:$Q$96,3*(Unit_Cost!Q$6-1)+2)</f>
        <v>424862.590279257</v>
      </c>
      <c r="R30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2389</v>
      </c>
      <c r="U30" s="41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2" t="s">
        <v>2390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1" t="s">
        <v>2333</v>
      </c>
      <c r="B31" s="28" t="s">
        <v>787</v>
      </c>
      <c r="C31" s="182" t="n">
        <f aca="false">INDEX(Perf!$C$98:$Q$98,3*(Unit_Cost!C$6-1)+2)</f>
        <v>21490429685.4234</v>
      </c>
      <c r="D31" s="182" t="n">
        <f aca="false">INDEX(Perf!$C$98:$Q$98,3*(Unit_Cost!D$6-1)+2)</f>
        <v>21490429685.4234</v>
      </c>
      <c r="E31" s="182" t="n">
        <f aca="false">INDEX(Perf!$C$98:$Q$98,3*(Unit_Cost!E$6-1)+2)</f>
        <v>21490429685.4234</v>
      </c>
      <c r="F31" s="182" t="n">
        <f aca="false">INDEX(Perf!$C$98:$Q$98,3*(Unit_Cost!F$6-1)+2)</f>
        <v>104125401080.667</v>
      </c>
      <c r="G31" s="182" t="n">
        <f aca="false">INDEX(Perf!$C$98:$Q$98,3*(Unit_Cost!G$6-1)+2)</f>
        <v>104125401080.667</v>
      </c>
      <c r="H31" s="182" t="n">
        <f aca="false">INDEX(Perf!$C$98:$Q$98,3*(Unit_Cost!H$6-1)+2)</f>
        <v>104125401080.667</v>
      </c>
      <c r="I31" s="182" t="n">
        <f aca="false">INDEX(Perf!$C$98:$Q$98,3*(Unit_Cost!I$6-1)+2)</f>
        <v>151593674754.548</v>
      </c>
      <c r="J31" s="182" t="n">
        <f aca="false">INDEX(Perf!$C$98:$Q$98,3*(Unit_Cost!J$6-1)+2)</f>
        <v>151593674754.548</v>
      </c>
      <c r="K31" s="182" t="n">
        <f aca="false">INDEX(Perf!$C$98:$Q$98,3*(Unit_Cost!K$6-1)+2)</f>
        <v>151593674754.548</v>
      </c>
      <c r="L31" s="182" t="n">
        <f aca="false">INDEX(Perf!$C$98:$Q$98,3*(Unit_Cost!L$6-1)+2)</f>
        <v>237287338734.99</v>
      </c>
      <c r="M31" s="182" t="n">
        <f aca="false">INDEX(Perf!$C$98:$Q$98,3*(Unit_Cost!M$6-1)+2)</f>
        <v>237287338734.99</v>
      </c>
      <c r="N31" s="182" t="n">
        <f aca="false">INDEX(Perf!$C$98:$Q$98,3*(Unit_Cost!N$6-1)+2)</f>
        <v>237287338734.99</v>
      </c>
      <c r="O31" s="182" t="n">
        <f aca="false">INDEX(Perf!$C$98:$Q$98,3*(Unit_Cost!O$6-1)+2)</f>
        <v>326185670522.351</v>
      </c>
      <c r="P31" s="182" t="n">
        <f aca="false">INDEX(Perf!$C$98:$Q$98,3*(Unit_Cost!P$6-1)+2)</f>
        <v>326185670522.351</v>
      </c>
      <c r="Q31" s="182" t="n">
        <f aca="false">INDEX(Perf!$C$98:$Q$98,3*(Unit_Cost!Q$6-1)+2)</f>
        <v>326185670522.351</v>
      </c>
      <c r="R31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2389</v>
      </c>
      <c r="U31" s="41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2" t="s">
        <v>2392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2403</v>
      </c>
      <c r="B32" s="28" t="s">
        <v>97</v>
      </c>
      <c r="C32" s="183" t="n">
        <f aca="false">INDEX(Perf!$C$120:$Q$120,3*(Unit_Cost!C$6-1)+2)</f>
        <v>0.0905671149585636</v>
      </c>
      <c r="D32" s="183" t="n">
        <f aca="false">INDEX(Perf!$C$120:$Q$120,3*(Unit_Cost!D$6-1)+2)</f>
        <v>0.0905671149585636</v>
      </c>
      <c r="E32" s="183" t="n">
        <f aca="false">INDEX(Perf!$C$120:$Q$120,3*(Unit_Cost!E$6-1)+2)</f>
        <v>0.0905671149585636</v>
      </c>
      <c r="F32" s="183" t="n">
        <f aca="false">INDEX(Perf!$C$120:$Q$120,3*(Unit_Cost!F$6-1)+2)</f>
        <v>0.438815663894134</v>
      </c>
      <c r="G32" s="183" t="n">
        <f aca="false">INDEX(Perf!$C$120:$Q$120,3*(Unit_Cost!G$6-1)+2)</f>
        <v>0.438815663894134</v>
      </c>
      <c r="H32" s="183" t="n">
        <f aca="false">INDEX(Perf!$C$120:$Q$120,3*(Unit_Cost!H$6-1)+2)</f>
        <v>0.438815663894134</v>
      </c>
      <c r="I32" s="183" t="n">
        <f aca="false">INDEX(Perf!$C$120:$Q$120,3*(Unit_Cost!I$6-1)+2)</f>
        <v>0.638861203310358</v>
      </c>
      <c r="J32" s="183" t="n">
        <f aca="false">INDEX(Perf!$C$120:$Q$120,3*(Unit_Cost!J$6-1)+2)</f>
        <v>0.638861203310358</v>
      </c>
      <c r="K32" s="183" t="n">
        <f aca="false">INDEX(Perf!$C$120:$Q$120,3*(Unit_Cost!K$6-1)+2)</f>
        <v>0.638861203310358</v>
      </c>
      <c r="L32" s="183" t="n">
        <f aca="false">INDEX(Perf!$C$120:$Q$120,3*(Unit_Cost!L$6-1)+2)</f>
        <v>1</v>
      </c>
      <c r="M32" s="183" t="n">
        <f aca="false">INDEX(Perf!$C$120:$Q$120,3*(Unit_Cost!M$6-1)+2)</f>
        <v>1</v>
      </c>
      <c r="N32" s="183" t="n">
        <f aca="false">INDEX(Perf!$C$120:$Q$120,3*(Unit_Cost!N$6-1)+2)</f>
        <v>1</v>
      </c>
      <c r="O32" s="183" t="n">
        <f aca="false">INDEX(Perf!$C$120:$Q$120,3*(Unit_Cost!O$6-1)+2)</f>
        <v>1.37464422780115</v>
      </c>
      <c r="P32" s="183" t="n">
        <f aca="false">INDEX(Perf!$C$120:$Q$120,3*(Unit_Cost!P$6-1)+2)</f>
        <v>1.37464422780115</v>
      </c>
      <c r="Q32" s="183" t="n">
        <f aca="false">INDEX(Perf!$C$120:$Q$120,3*(Unit_Cost!Q$6-1)+2)</f>
        <v>1.37464422780115</v>
      </c>
      <c r="R32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2389</v>
      </c>
      <c r="U32" s="41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2" t="s">
        <v>2392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1" t="s">
        <v>2334</v>
      </c>
      <c r="B33" s="28" t="s">
        <v>795</v>
      </c>
      <c r="C33" s="43" t="n">
        <f aca="false">Unit_Cost!C29</f>
        <v>0.134224657207592</v>
      </c>
      <c r="D33" s="43" t="n">
        <f aca="false">Unit_Cost!D29</f>
        <v>0.191780186690782</v>
      </c>
      <c r="E33" s="43" t="n">
        <f aca="false">Unit_Cost!E29</f>
        <v>0.32935711864356</v>
      </c>
      <c r="F33" s="43" t="n">
        <f aca="false">Unit_Cost!F29</f>
        <v>0.018495300150885</v>
      </c>
      <c r="G33" s="43" t="n">
        <f aca="false">Unit_Cost!G29</f>
        <v>0.0246951163043756</v>
      </c>
      <c r="H33" s="43" t="n">
        <f aca="false">Unit_Cost!H29</f>
        <v>0.0400534934338416</v>
      </c>
      <c r="I33" s="43" t="n">
        <f aca="false">Unit_Cost!I29</f>
        <v>0.0161952280965778</v>
      </c>
      <c r="J33" s="43" t="n">
        <f aca="false">Unit_Cost!J29</f>
        <v>0.0209170743182869</v>
      </c>
      <c r="K33" s="43" t="n">
        <f aca="false">Unit_Cost!K29</f>
        <v>0.0356123388503434</v>
      </c>
      <c r="L33" s="43" t="n">
        <f aca="false">Unit_Cost!L29</f>
        <v>0.0130752181479087</v>
      </c>
      <c r="M33" s="43" t="n">
        <f aca="false">Unit_Cost!M29</f>
        <v>0.0168050260436256</v>
      </c>
      <c r="N33" s="43" t="n">
        <f aca="false">Unit_Cost!N29</f>
        <v>0.0271490399683714</v>
      </c>
      <c r="O33" s="43" t="n">
        <f aca="false">Unit_Cost!O29</f>
        <v>0.0104010346120689</v>
      </c>
      <c r="P33" s="43" t="n">
        <f aca="false">Unit_Cost!P29</f>
        <v>0.0158081464621773</v>
      </c>
      <c r="Q33" s="43" t="n">
        <f aca="false">Unit_Cost!Q29</f>
        <v>0.0288584270190855</v>
      </c>
      <c r="R33" s="17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2389</v>
      </c>
      <c r="U33" s="41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2" t="s">
        <v>2394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1" t="s">
        <v>2404</v>
      </c>
      <c r="B34" s="28" t="s">
        <v>795</v>
      </c>
      <c r="C34" s="184" t="n">
        <f aca="false">Unit_Cost!C30</f>
        <v>1.18910885295117E-005</v>
      </c>
      <c r="D34" s="184" t="n">
        <f aca="false">Unit_Cost!D30</f>
        <v>1.69899869784684E-005</v>
      </c>
      <c r="E34" s="184" t="n">
        <f aca="false">Unit_Cost!E30</f>
        <v>2.91780566782028E-005</v>
      </c>
      <c r="F34" s="184" t="n">
        <f aca="false">Unit_Cost!F30</f>
        <v>1.65674016449461E-005</v>
      </c>
      <c r="G34" s="184" t="n">
        <f aca="false">Unit_Cost!G30</f>
        <v>2.21209662533469E-005</v>
      </c>
      <c r="H34" s="184" t="n">
        <f aca="false">Unit_Cost!H30</f>
        <v>3.58784289840203E-005</v>
      </c>
      <c r="I34" s="184" t="n">
        <f aca="false">Unit_Cost!I30</f>
        <v>2.17606240303174E-005</v>
      </c>
      <c r="J34" s="184" t="n">
        <f aca="false">Unit_Cost!J30</f>
        <v>2.81051052408846E-005</v>
      </c>
      <c r="K34" s="184" t="n">
        <f aca="false">Unit_Cost!K30</f>
        <v>4.7850311952466E-005</v>
      </c>
      <c r="L34" s="184" t="n">
        <f aca="false">Unit_Cost!L30</f>
        <v>4.09930285583736E-005</v>
      </c>
      <c r="M34" s="184" t="n">
        <f aca="false">Unit_Cost!M30</f>
        <v>5.2686609488098E-005</v>
      </c>
      <c r="N34" s="184" t="n">
        <f aca="false">Unit_Cost!N30</f>
        <v>8.51168491543588E-005</v>
      </c>
      <c r="O34" s="184" t="n">
        <f aca="false">Unit_Cost!O30</f>
        <v>6.52180184018376E-005</v>
      </c>
      <c r="P34" s="184" t="n">
        <f aca="false">Unit_Cost!P30</f>
        <v>9.91224455375737E-005</v>
      </c>
      <c r="Q34" s="184" t="n">
        <f aca="false">Unit_Cost!Q30</f>
        <v>0.000180952135491878</v>
      </c>
      <c r="R34" s="175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2389</v>
      </c>
      <c r="U34" s="41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2" t="s">
        <v>2396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2335</v>
      </c>
      <c r="B35" s="28" t="s">
        <v>795</v>
      </c>
      <c r="C35" s="53" t="n">
        <f aca="false">Unit_Cost!C31</f>
        <v>1.7702441493306</v>
      </c>
      <c r="D35" s="53" t="n">
        <f aca="false">Unit_Cost!D31</f>
        <v>2.52932479404151</v>
      </c>
      <c r="E35" s="53" t="n">
        <f aca="false">Unit_Cost!E31</f>
        <v>4.34378097473856</v>
      </c>
      <c r="F35" s="53" t="n">
        <f aca="false">Unit_Cost!F31</f>
        <v>0.423524919545995</v>
      </c>
      <c r="G35" s="53" t="n">
        <f aca="false">Unit_Cost!G31</f>
        <v>0.565494858729786</v>
      </c>
      <c r="H35" s="53" t="n">
        <f aca="false">Unit_Cost!H31</f>
        <v>0.917187201381651</v>
      </c>
      <c r="I35" s="53" t="n">
        <f aca="false">Unit_Cost!I31</f>
        <v>0.37085544006724</v>
      </c>
      <c r="J35" s="53" t="n">
        <f aca="false">Unit_Cost!J31</f>
        <v>0.478981262565029</v>
      </c>
      <c r="K35" s="53" t="n">
        <f aca="false">Unit_Cost!K31</f>
        <v>0.815488952511794</v>
      </c>
      <c r="L35" s="53" t="n">
        <f aca="false">Unit_Cost!L31</f>
        <v>0.256178955227036</v>
      </c>
      <c r="M35" s="53" t="n">
        <f aca="false">Unit_Cost!M31</f>
        <v>0.329255999075451</v>
      </c>
      <c r="N35" s="53" t="n">
        <f aca="false">Unit_Cost!N31</f>
        <v>0.531923262452556</v>
      </c>
      <c r="O35" s="53" t="n">
        <f aca="false">Unit_Cost!O31</f>
        <v>0.195537573688745</v>
      </c>
      <c r="P35" s="53" t="n">
        <f aca="false">Unit_Cost!P31</f>
        <v>0.297190300678713</v>
      </c>
      <c r="Q35" s="53" t="n">
        <f aca="false">Unit_Cost!Q31</f>
        <v>0.542533220035429</v>
      </c>
      <c r="R35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2389</v>
      </c>
      <c r="U35" s="41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2" t="s">
        <v>2397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2405</v>
      </c>
      <c r="B36" s="28" t="s">
        <v>795</v>
      </c>
      <c r="C36" s="43" t="n">
        <f aca="false">Unit_Cost!C35</f>
        <v>1.3528895325435</v>
      </c>
      <c r="D36" s="43" t="n">
        <f aca="false">Unit_Cost!D35</f>
        <v>1.85184630977381</v>
      </c>
      <c r="E36" s="43" t="n">
        <f aca="false">Unit_Cost!E35</f>
        <v>3.18204353524464</v>
      </c>
      <c r="F36" s="43" t="n">
        <f aca="false">Unit_Cost!F35</f>
        <v>0.32345052566641</v>
      </c>
      <c r="G36" s="43" t="n">
        <f aca="false">Unit_Cost!G35</f>
        <v>0.41310702705128</v>
      </c>
      <c r="H36" s="43" t="n">
        <f aca="false">Unit_Cost!H35</f>
        <v>0.667435310698456</v>
      </c>
      <c r="I36" s="43" t="n">
        <f aca="false">Unit_Cost!I35</f>
        <v>0.284826143749672</v>
      </c>
      <c r="J36" s="43" t="n">
        <f aca="false">Unit_Cost!J35</f>
        <v>0.351541292789194</v>
      </c>
      <c r="K36" s="43" t="n">
        <f aca="false">Unit_Cost!K35</f>
        <v>0.599826966669016</v>
      </c>
      <c r="L36" s="43" t="n">
        <f aca="false">Unit_Cost!L35</f>
        <v>0.197209692186701</v>
      </c>
      <c r="M36" s="43" t="n">
        <f aca="false">Unit_Cost!M35</f>
        <v>0.242180453185295</v>
      </c>
      <c r="N36" s="43" t="n">
        <f aca="false">Unit_Cost!N35</f>
        <v>0.392124782476187</v>
      </c>
      <c r="O36" s="43" t="n">
        <f aca="false">Unit_Cost!O35</f>
        <v>0.150686185408772</v>
      </c>
      <c r="P36" s="43" t="n">
        <f aca="false">Unit_Cost!P35</f>
        <v>0.21938421275425</v>
      </c>
      <c r="Q36" s="43" t="n">
        <f aca="false">Unit_Cost!Q35</f>
        <v>0.403952915259799</v>
      </c>
      <c r="R36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2389</v>
      </c>
      <c r="U36" s="41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2" t="s">
        <v>2397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2406</v>
      </c>
      <c r="B37" s="28" t="s">
        <v>811</v>
      </c>
      <c r="C37" s="48" t="n">
        <f aca="false">INDEX(Perf!$C$117:$Q$117,3*(Unit_Cost!C$6-1)+2)</f>
        <v>0.925893744132461</v>
      </c>
      <c r="D37" s="48" t="n">
        <f aca="false">INDEX(Perf!$C$117:$Q$117,3*(Unit_Cost!D$6-1)+2)</f>
        <v>0.925893744132461</v>
      </c>
      <c r="E37" s="48" t="n">
        <f aca="false">INDEX(Perf!$C$117:$Q$117,3*(Unit_Cost!E$6-1)+2)</f>
        <v>0.925893744132461</v>
      </c>
      <c r="F37" s="48" t="n">
        <f aca="false">INDEX(Perf!$C$117:$Q$117,3*(Unit_Cost!F$6-1)+2)</f>
        <v>4.48658290896209</v>
      </c>
      <c r="G37" s="48" t="n">
        <f aca="false">INDEX(Perf!$C$117:$Q$117,3*(Unit_Cost!G$6-1)+2)</f>
        <v>4.48658290896209</v>
      </c>
      <c r="H37" s="48" t="n">
        <f aca="false">INDEX(Perf!$C$117:$Q$117,3*(Unit_Cost!H$6-1)+2)</f>
        <v>4.48658290896209</v>
      </c>
      <c r="I37" s="48" t="n">
        <f aca="false">INDEX(Perf!$C$117:$Q$117,3*(Unit_Cost!I$6-1)+2)</f>
        <v>6.5319368821654</v>
      </c>
      <c r="J37" s="48" t="n">
        <f aca="false">INDEX(Perf!$C$117:$Q$117,3*(Unit_Cost!J$6-1)+2)</f>
        <v>6.5319368821654</v>
      </c>
      <c r="K37" s="48" t="n">
        <f aca="false">INDEX(Perf!$C$117:$Q$117,3*(Unit_Cost!K$6-1)+2)</f>
        <v>6.5319368821654</v>
      </c>
      <c r="L37" s="48" t="n">
        <f aca="false">INDEX(Perf!$C$117:$Q$117,3*(Unit_Cost!L$6-1)+2)</f>
        <v>10.2254558466635</v>
      </c>
      <c r="M37" s="48" t="n">
        <f aca="false">INDEX(Perf!$C$117:$Q$117,3*(Unit_Cost!M$6-1)+2)</f>
        <v>10.2254558466635</v>
      </c>
      <c r="N37" s="48" t="n">
        <f aca="false">INDEX(Perf!$C$117:$Q$117,3*(Unit_Cost!N$6-1)+2)</f>
        <v>10.2254558466635</v>
      </c>
      <c r="O37" s="48" t="n">
        <f aca="false">INDEX(Perf!$C$117:$Q$117,3*(Unit_Cost!O$6-1)+2)</f>
        <v>14.0579533548284</v>
      </c>
      <c r="P37" s="48" t="n">
        <f aca="false">INDEX(Perf!$C$117:$Q$117,3*(Unit_Cost!P$6-1)+2)</f>
        <v>14.0579533548284</v>
      </c>
      <c r="Q37" s="48" t="n">
        <f aca="false">INDEX(Perf!$C$117:$Q$117,3*(Unit_Cost!Q$6-1)+2)</f>
        <v>14.0579533548284</v>
      </c>
      <c r="R37" s="17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2389</v>
      </c>
      <c r="U37" s="41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2" t="s">
        <v>2400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251</v>
      </c>
    </row>
    <row r="39" customFormat="false" ht="15" hidden="false" customHeight="true" outlineLevel="0" collapsed="false">
      <c r="A39" s="41" t="s">
        <v>2407</v>
      </c>
      <c r="B39" s="28" t="s">
        <v>359</v>
      </c>
      <c r="C39" s="46" t="n">
        <f aca="false">INDEX(Perf!$C$95:$Q$95,3*(Unit_Cost!C$6-1)+3)</f>
        <v>5478.1224112239</v>
      </c>
      <c r="D39" s="46" t="n">
        <f aca="false">INDEX(Perf!$C$95:$Q$95,3*(Unit_Cost!D$6-1)+3)</f>
        <v>5478.1224112239</v>
      </c>
      <c r="E39" s="46" t="n">
        <f aca="false">INDEX(Perf!$C$95:$Q$95,3*(Unit_Cost!E$6-1)+3)</f>
        <v>5478.1224112239</v>
      </c>
      <c r="F39" s="46" t="n">
        <f aca="false">INDEX(Perf!$C$95:$Q$95,3*(Unit_Cost!F$6-1)+3)</f>
        <v>91192.7873461663</v>
      </c>
      <c r="G39" s="46" t="n">
        <f aca="false">INDEX(Perf!$C$95:$Q$95,3*(Unit_Cost!G$6-1)+3)</f>
        <v>91192.7873461663</v>
      </c>
      <c r="H39" s="46" t="n">
        <f aca="false">INDEX(Perf!$C$95:$Q$95,3*(Unit_Cost!H$6-1)+3)</f>
        <v>91192.7873461663</v>
      </c>
      <c r="I39" s="46" t="n">
        <f aca="false">INDEX(Perf!$C$95:$Q$95,3*(Unit_Cost!I$6-1)+3)</f>
        <v>113610.678728985</v>
      </c>
      <c r="J39" s="46" t="n">
        <f aca="false">INDEX(Perf!$C$95:$Q$95,3*(Unit_Cost!J$6-1)+3)</f>
        <v>113610.678728985</v>
      </c>
      <c r="K39" s="46" t="n">
        <f aca="false">INDEX(Perf!$C$95:$Q$95,3*(Unit_Cost!K$6-1)+3)</f>
        <v>113610.678728985</v>
      </c>
      <c r="L39" s="46" t="n">
        <f aca="false">INDEX(Perf!$C$95:$Q$95,3*(Unit_Cost!L$6-1)+3)</f>
        <v>400425.262990618</v>
      </c>
      <c r="M39" s="46" t="n">
        <f aca="false">INDEX(Perf!$C$95:$Q$95,3*(Unit_Cost!M$6-1)+3)</f>
        <v>400425.262990618</v>
      </c>
      <c r="N39" s="46" t="n">
        <f aca="false">INDEX(Perf!$C$95:$Q$95,3*(Unit_Cost!N$6-1)+3)</f>
        <v>400425.262990618</v>
      </c>
      <c r="O39" s="46" t="n">
        <f aca="false">INDEX(Perf!$C$95:$Q$95,3*(Unit_Cost!O$6-1)+3)</f>
        <v>872177.01955352</v>
      </c>
      <c r="P39" s="46" t="n">
        <f aca="false">INDEX(Perf!$C$95:$Q$95,3*(Unit_Cost!P$6-1)+3)</f>
        <v>872177.01955352</v>
      </c>
      <c r="Q39" s="46" t="n">
        <f aca="false">INDEX(Perf!$C$95:$Q$95,3*(Unit_Cost!Q$6-1)+3)</f>
        <v>872177.01955352</v>
      </c>
      <c r="R39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2389</v>
      </c>
      <c r="U39" s="41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2" t="s">
        <v>2390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1" t="s">
        <v>2408</v>
      </c>
      <c r="B40" s="28" t="s">
        <v>359</v>
      </c>
      <c r="C40" s="46" t="n">
        <f aca="false">INDEX(Perf!$C$96:$Q$96,3*(Unit_Cost!C$6-1)+3)</f>
        <v>608.680267913767</v>
      </c>
      <c r="D40" s="46" t="n">
        <f aca="false">INDEX(Perf!$C$96:$Q$96,3*(Unit_Cost!D$6-1)+3)</f>
        <v>608.680267913767</v>
      </c>
      <c r="E40" s="46" t="n">
        <f aca="false">INDEX(Perf!$C$96:$Q$96,3*(Unit_Cost!E$6-1)+3)</f>
        <v>608.680267913767</v>
      </c>
      <c r="F40" s="46" t="n">
        <f aca="false">INDEX(Perf!$C$96:$Q$96,3*(Unit_Cost!F$6-1)+3)</f>
        <v>10132.5319273518</v>
      </c>
      <c r="G40" s="46" t="n">
        <f aca="false">INDEX(Perf!$C$96:$Q$96,3*(Unit_Cost!G$6-1)+3)</f>
        <v>10132.5319273518</v>
      </c>
      <c r="H40" s="46" t="n">
        <f aca="false">INDEX(Perf!$C$96:$Q$96,3*(Unit_Cost!H$6-1)+3)</f>
        <v>10132.5319273518</v>
      </c>
      <c r="I40" s="46" t="n">
        <f aca="false">INDEX(Perf!$C$96:$Q$96,3*(Unit_Cost!I$6-1)+3)</f>
        <v>12623.408747665</v>
      </c>
      <c r="J40" s="46" t="n">
        <f aca="false">INDEX(Perf!$C$96:$Q$96,3*(Unit_Cost!J$6-1)+3)</f>
        <v>12623.408747665</v>
      </c>
      <c r="K40" s="46" t="n">
        <f aca="false">INDEX(Perf!$C$96:$Q$96,3*(Unit_Cost!K$6-1)+3)</f>
        <v>12623.408747665</v>
      </c>
      <c r="L40" s="46" t="n">
        <f aca="false">INDEX(Perf!$C$96:$Q$96,3*(Unit_Cost!L$6-1)+3)</f>
        <v>44491.6958878465</v>
      </c>
      <c r="M40" s="46" t="n">
        <f aca="false">INDEX(Perf!$C$96:$Q$96,3*(Unit_Cost!M$6-1)+3)</f>
        <v>44491.6958878465</v>
      </c>
      <c r="N40" s="46" t="n">
        <f aca="false">INDEX(Perf!$C$96:$Q$96,3*(Unit_Cost!N$6-1)+3)</f>
        <v>44491.6958878465</v>
      </c>
      <c r="O40" s="46" t="n">
        <f aca="false">INDEX(Perf!$C$96:$Q$96,3*(Unit_Cost!O$6-1)+3)</f>
        <v>96908.5577281689</v>
      </c>
      <c r="P40" s="46" t="n">
        <f aca="false">INDEX(Perf!$C$96:$Q$96,3*(Unit_Cost!P$6-1)+3)</f>
        <v>96908.5577281689</v>
      </c>
      <c r="Q40" s="46" t="n">
        <f aca="false">INDEX(Perf!$C$96:$Q$96,3*(Unit_Cost!Q$6-1)+3)</f>
        <v>96908.5577281689</v>
      </c>
      <c r="R40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2389</v>
      </c>
      <c r="U40" s="41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2" t="s">
        <v>2390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1" t="s">
        <v>2336</v>
      </c>
      <c r="B41" s="28" t="s">
        <v>787</v>
      </c>
      <c r="C41" s="182" t="n">
        <f aca="false">INDEX(Perf!$C$98:$Q$98,3*(Unit_Cost!C$6-1)+3)</f>
        <v>3876518295.93805</v>
      </c>
      <c r="D41" s="182" t="n">
        <f aca="false">INDEX(Perf!$C$98:$Q$98,3*(Unit_Cost!D$6-1)+3)</f>
        <v>3876518295.93805</v>
      </c>
      <c r="E41" s="182" t="n">
        <f aca="false">INDEX(Perf!$C$98:$Q$98,3*(Unit_Cost!E$6-1)+3)</f>
        <v>3876518295.93805</v>
      </c>
      <c r="F41" s="182" t="n">
        <f aca="false">INDEX(Perf!$C$98:$Q$98,3*(Unit_Cost!F$6-1)+3)</f>
        <v>20041838664.2467</v>
      </c>
      <c r="G41" s="182" t="n">
        <f aca="false">INDEX(Perf!$C$98:$Q$98,3*(Unit_Cost!G$6-1)+3)</f>
        <v>20041838664.2467</v>
      </c>
      <c r="H41" s="182" t="n">
        <f aca="false">INDEX(Perf!$C$98:$Q$98,3*(Unit_Cost!H$6-1)+3)</f>
        <v>20041838664.2467</v>
      </c>
      <c r="I41" s="182" t="n">
        <f aca="false">INDEX(Perf!$C$98:$Q$98,3*(Unit_Cost!I$6-1)+3)</f>
        <v>24234237528.7831</v>
      </c>
      <c r="J41" s="182" t="n">
        <f aca="false">INDEX(Perf!$C$98:$Q$98,3*(Unit_Cost!J$6-1)+3)</f>
        <v>24234237528.7831</v>
      </c>
      <c r="K41" s="182" t="n">
        <f aca="false">INDEX(Perf!$C$98:$Q$98,3*(Unit_Cost!K$6-1)+3)</f>
        <v>24234237528.7831</v>
      </c>
      <c r="L41" s="182" t="n">
        <f aca="false">INDEX(Perf!$C$98:$Q$98,3*(Unit_Cost!L$6-1)+3)</f>
        <v>51167890551.5595</v>
      </c>
      <c r="M41" s="182" t="n">
        <f aca="false">INDEX(Perf!$C$98:$Q$98,3*(Unit_Cost!M$6-1)+3)</f>
        <v>51167890551.5595</v>
      </c>
      <c r="N41" s="182" t="n">
        <f aca="false">INDEX(Perf!$C$98:$Q$98,3*(Unit_Cost!N$6-1)+3)</f>
        <v>51167890551.5595</v>
      </c>
      <c r="O41" s="182" t="n">
        <f aca="false">INDEX(Perf!$C$98:$Q$98,3*(Unit_Cost!O$6-1)+3)</f>
        <v>74400955991.7707</v>
      </c>
      <c r="P41" s="182" t="n">
        <f aca="false">INDEX(Perf!$C$98:$Q$98,3*(Unit_Cost!P$6-1)+3)</f>
        <v>74400955991.7707</v>
      </c>
      <c r="Q41" s="182" t="n">
        <f aca="false">INDEX(Perf!$C$98:$Q$98,3*(Unit_Cost!Q$6-1)+3)</f>
        <v>74400955991.7707</v>
      </c>
      <c r="R41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2389</v>
      </c>
      <c r="U41" s="41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2" t="s">
        <v>2392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2409</v>
      </c>
      <c r="B42" s="28" t="s">
        <v>97</v>
      </c>
      <c r="C42" s="183" t="n">
        <f aca="false">INDEX(Perf!$C$120:$Q$120,3*(Unit_Cost!C$6-1)+3)</f>
        <v>0.075760760393901</v>
      </c>
      <c r="D42" s="183" t="n">
        <f aca="false">INDEX(Perf!$C$120:$Q$120,3*(Unit_Cost!D$6-1)+3)</f>
        <v>0.075760760393901</v>
      </c>
      <c r="E42" s="183" t="n">
        <f aca="false">INDEX(Perf!$C$120:$Q$120,3*(Unit_Cost!E$6-1)+3)</f>
        <v>0.075760760393901</v>
      </c>
      <c r="F42" s="183" t="n">
        <f aca="false">INDEX(Perf!$C$120:$Q$120,3*(Unit_Cost!F$6-1)+3)</f>
        <v>0.39168780358556</v>
      </c>
      <c r="G42" s="183" t="n">
        <f aca="false">INDEX(Perf!$C$120:$Q$120,3*(Unit_Cost!G$6-1)+3)</f>
        <v>0.39168780358556</v>
      </c>
      <c r="H42" s="183" t="n">
        <f aca="false">INDEX(Perf!$C$120:$Q$120,3*(Unit_Cost!H$6-1)+3)</f>
        <v>0.39168780358556</v>
      </c>
      <c r="I42" s="183" t="n">
        <f aca="false">INDEX(Perf!$C$120:$Q$120,3*(Unit_Cost!I$6-1)+3)</f>
        <v>0.473621977915297</v>
      </c>
      <c r="J42" s="183" t="n">
        <f aca="false">INDEX(Perf!$C$120:$Q$120,3*(Unit_Cost!J$6-1)+3)</f>
        <v>0.473621977915297</v>
      </c>
      <c r="K42" s="183" t="n">
        <f aca="false">INDEX(Perf!$C$120:$Q$120,3*(Unit_Cost!K$6-1)+3)</f>
        <v>0.473621977915297</v>
      </c>
      <c r="L42" s="183" t="n">
        <f aca="false">INDEX(Perf!$C$120:$Q$120,3*(Unit_Cost!L$6-1)+3)</f>
        <v>1</v>
      </c>
      <c r="M42" s="183" t="n">
        <f aca="false">INDEX(Perf!$C$120:$Q$120,3*(Unit_Cost!M$6-1)+3)</f>
        <v>1</v>
      </c>
      <c r="N42" s="183" t="n">
        <f aca="false">INDEX(Perf!$C$120:$Q$120,3*(Unit_Cost!N$6-1)+3)</f>
        <v>1</v>
      </c>
      <c r="O42" s="183" t="n">
        <f aca="false">INDEX(Perf!$C$120:$Q$120,3*(Unit_Cost!O$6-1)+3)</f>
        <v>1.4540555647257</v>
      </c>
      <c r="P42" s="183" t="n">
        <f aca="false">INDEX(Perf!$C$120:$Q$120,3*(Unit_Cost!P$6-1)+3)</f>
        <v>1.4540555647257</v>
      </c>
      <c r="Q42" s="183" t="n">
        <f aca="false">INDEX(Perf!$C$120:$Q$120,3*(Unit_Cost!Q$6-1)+3)</f>
        <v>1.4540555647257</v>
      </c>
      <c r="R42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2389</v>
      </c>
      <c r="U42" s="41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2" t="s">
        <v>2392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1" t="s">
        <v>2337</v>
      </c>
      <c r="B43" s="28" t="s">
        <v>795</v>
      </c>
      <c r="C43" s="43" t="n">
        <f aca="false">Unit_Cost!C42</f>
        <v>0.445283898601385</v>
      </c>
      <c r="D43" s="43" t="n">
        <f aca="false">Unit_Cost!D42</f>
        <v>0.636221622619591</v>
      </c>
      <c r="E43" s="43" t="n">
        <f aca="false">Unit_Cost!E42</f>
        <v>1.09262653280539</v>
      </c>
      <c r="F43" s="43" t="n">
        <f aca="false">Unit_Cost!F42</f>
        <v>0.061357276139298</v>
      </c>
      <c r="G43" s="43" t="n">
        <f aca="false">Unit_Cost!G42</f>
        <v>0.0819248705356724</v>
      </c>
      <c r="H43" s="43" t="n">
        <f aca="false">Unit_Cost!H42</f>
        <v>0.132875554163212</v>
      </c>
      <c r="I43" s="43" t="n">
        <f aca="false">Unit_Cost!I42</f>
        <v>0.0537268967983248</v>
      </c>
      <c r="J43" s="43" t="n">
        <f aca="false">Unit_Cost!J42</f>
        <v>0.0693913964360257</v>
      </c>
      <c r="K43" s="43" t="n">
        <f aca="false">Unit_Cost!K42</f>
        <v>0.118142235648023</v>
      </c>
      <c r="L43" s="43" t="n">
        <f aca="false">Unit_Cost!L42</f>
        <v>0.0433764125987652</v>
      </c>
      <c r="M43" s="43" t="n">
        <f aca="false">Unit_Cost!M42</f>
        <v>0.0557498724040708</v>
      </c>
      <c r="N43" s="43" t="n">
        <f aca="false">Unit_Cost!N42</f>
        <v>0.0900656452540185</v>
      </c>
      <c r="O43" s="43" t="n">
        <f aca="false">Unit_Cost!O42</f>
        <v>0.0345049362606085</v>
      </c>
      <c r="P43" s="43" t="n">
        <f aca="false">Unit_Cost!P42</f>
        <v>0.0524427719375976</v>
      </c>
      <c r="Q43" s="43" t="n">
        <f aca="false">Unit_Cost!Q42</f>
        <v>0.0957364552675877</v>
      </c>
      <c r="R43" s="17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2389</v>
      </c>
      <c r="U43" s="41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2" t="s">
        <v>2394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1" t="s">
        <v>2410</v>
      </c>
      <c r="B44" s="28" t="s">
        <v>795</v>
      </c>
      <c r="C44" s="184" t="n">
        <f aca="false">Unit_Cost!C43</f>
        <v>0.000172743177629224</v>
      </c>
      <c r="D44" s="184" t="n">
        <f aca="false">Unit_Cost!D43</f>
        <v>0.000246815447656943</v>
      </c>
      <c r="E44" s="184" t="n">
        <f aca="false">Unit_Cost!E43</f>
        <v>0.000423872904076792</v>
      </c>
      <c r="F44" s="184" t="n">
        <f aca="false">Unit_Cost!F43</f>
        <v>0.000240676503089255</v>
      </c>
      <c r="G44" s="184" t="n">
        <f aca="false">Unit_Cost!G43</f>
        <v>0.000321353759443325</v>
      </c>
      <c r="H44" s="184" t="n">
        <f aca="false">Unit_Cost!H43</f>
        <v>0.000521209964559791</v>
      </c>
      <c r="I44" s="184" t="n">
        <f aca="false">Unit_Cost!I43</f>
        <v>0.000316119027527436</v>
      </c>
      <c r="J44" s="184" t="n">
        <f aca="false">Unit_Cost!J43</f>
        <v>0.000408286018127352</v>
      </c>
      <c r="K44" s="184" t="n">
        <f aca="false">Unit_Cost!K43</f>
        <v>0.000695126852071133</v>
      </c>
      <c r="L44" s="184" t="n">
        <f aca="false">Unit_Cost!L43</f>
        <v>0.000595510326598316</v>
      </c>
      <c r="M44" s="184" t="n">
        <f aca="false">Unit_Cost!M43</f>
        <v>0.000765384289158751</v>
      </c>
      <c r="N44" s="184" t="n">
        <f aca="false">Unit_Cost!N43</f>
        <v>0.00123650202050216</v>
      </c>
      <c r="O44" s="184" t="n">
        <f aca="false">Unit_Cost!O43</f>
        <v>0.00094742947287411</v>
      </c>
      <c r="P44" s="184" t="n">
        <f aca="false">Unit_Cost!P43</f>
        <v>0.00143996289103764</v>
      </c>
      <c r="Q44" s="184" t="n">
        <f aca="false">Unit_Cost!Q43</f>
        <v>0.00262871198091606</v>
      </c>
      <c r="R44" s="175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2389</v>
      </c>
      <c r="U44" s="41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2" t="s">
        <v>2396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2338</v>
      </c>
      <c r="B45" s="28" t="s">
        <v>795</v>
      </c>
      <c r="C45" s="53" t="n">
        <f aca="false">Unit_Cost!C44</f>
        <v>12.2043697021718</v>
      </c>
      <c r="D45" s="53" t="n">
        <f aca="false">Unit_Cost!D44</f>
        <v>17.437603109732</v>
      </c>
      <c r="E45" s="53" t="n">
        <f aca="false">Unit_Cost!E44</f>
        <v>29.9467782119297</v>
      </c>
      <c r="F45" s="53" t="n">
        <f aca="false">Unit_Cost!F44</f>
        <v>2.47824794341068</v>
      </c>
      <c r="G45" s="53" t="n">
        <f aca="false">Unit_Cost!G44</f>
        <v>3.30898231952609</v>
      </c>
      <c r="H45" s="53" t="n">
        <f aca="false">Unit_Cost!H44</f>
        <v>5.36690331700735</v>
      </c>
      <c r="I45" s="53" t="n">
        <f aca="false">Unit_Cost!I44</f>
        <v>2.70047072784554</v>
      </c>
      <c r="J45" s="53" t="n">
        <f aca="false">Unit_Cost!J44</f>
        <v>3.48781422353906</v>
      </c>
      <c r="K45" s="53" t="n">
        <f aca="false">Unit_Cost!K44</f>
        <v>5.93817376587556</v>
      </c>
      <c r="L45" s="53" t="n">
        <f aca="false">Unit_Cost!L44</f>
        <v>1.32608273033948</v>
      </c>
      <c r="M45" s="53" t="n">
        <f aca="false">Unit_Cost!M44</f>
        <v>1.70435816575049</v>
      </c>
      <c r="N45" s="53" t="n">
        <f aca="false">Unit_Cost!N44</f>
        <v>2.7534433949855</v>
      </c>
      <c r="O45" s="53" t="n">
        <f aca="false">Unit_Cost!O44</f>
        <v>0.946026825683234</v>
      </c>
      <c r="P45" s="53" t="n">
        <f aca="false">Unit_Cost!P44</f>
        <v>1.43783105963287</v>
      </c>
      <c r="Q45" s="53" t="n">
        <f aca="false">Unit_Cost!Q44</f>
        <v>2.62482023426766</v>
      </c>
      <c r="R45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2389</v>
      </c>
      <c r="U45" s="41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2" t="s">
        <v>2397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2411</v>
      </c>
      <c r="B46" s="28" t="s">
        <v>795</v>
      </c>
      <c r="C46" s="43" t="n">
        <f aca="false">Unit_Cost!C48</f>
        <v>9.32705470463084</v>
      </c>
      <c r="D46" s="43" t="n">
        <f aca="false">Unit_Cost!D48</f>
        <v>12.7669491265532</v>
      </c>
      <c r="E46" s="43" t="n">
        <f aca="false">Unit_Cost!E48</f>
        <v>21.9375591368097</v>
      </c>
      <c r="F46" s="43" t="n">
        <f aca="false">Unit_Cost!F48</f>
        <v>1.89266454707592</v>
      </c>
      <c r="G46" s="43" t="n">
        <f aca="false">Unit_Cost!G48</f>
        <v>2.41728784529561</v>
      </c>
      <c r="H46" s="43" t="n">
        <f aca="false">Unit_Cost!H48</f>
        <v>3.90548491897767</v>
      </c>
      <c r="I46" s="43" t="n">
        <f aca="false">Unit_Cost!I48</f>
        <v>2.0740282617444</v>
      </c>
      <c r="J46" s="43" t="n">
        <f aca="false">Unit_Cost!J48</f>
        <v>2.55983024176232</v>
      </c>
      <c r="K46" s="43" t="n">
        <f aca="false">Unit_Cost!K48</f>
        <v>4.36778051568657</v>
      </c>
      <c r="L46" s="43" t="n">
        <f aca="false">Unit_Cost!L48</f>
        <v>1.02083470062005</v>
      </c>
      <c r="M46" s="43" t="n">
        <f aca="false">Unit_Cost!M48</f>
        <v>1.25362099439508</v>
      </c>
      <c r="N46" s="43" t="n">
        <f aca="false">Unit_Cost!N48</f>
        <v>2.02979164201432</v>
      </c>
      <c r="O46" s="43" t="n">
        <f aca="false">Unit_Cost!O48</f>
        <v>0.729032129055107</v>
      </c>
      <c r="P46" s="43" t="n">
        <f aca="false">Unit_Cost!P48</f>
        <v>1.06139882213781</v>
      </c>
      <c r="Q46" s="43" t="n">
        <f aca="false">Unit_Cost!Q48</f>
        <v>1.95435734902295</v>
      </c>
      <c r="R46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2389</v>
      </c>
      <c r="U46" s="41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2" t="s">
        <v>2397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2412</v>
      </c>
      <c r="B47" s="28" t="s">
        <v>811</v>
      </c>
      <c r="C47" s="48" t="n">
        <f aca="false">INDEX(Perf!$C$117:$Q$117,3*(Unit_Cost!C$6-1)+3)</f>
        <v>0.16701592717146</v>
      </c>
      <c r="D47" s="48" t="n">
        <f aca="false">INDEX(Perf!$C$117:$Q$117,3*(Unit_Cost!D$6-1)+3)</f>
        <v>0.16701592717146</v>
      </c>
      <c r="E47" s="48" t="n">
        <f aca="false">INDEX(Perf!$C$117:$Q$117,3*(Unit_Cost!E$6-1)+3)</f>
        <v>0.16701592717146</v>
      </c>
      <c r="F47" s="48" t="n">
        <f aca="false">INDEX(Perf!$C$117:$Q$117,3*(Unit_Cost!F$6-1)+3)</f>
        <v>0.863568061990211</v>
      </c>
      <c r="G47" s="48" t="n">
        <f aca="false">INDEX(Perf!$C$117:$Q$117,3*(Unit_Cost!G$6-1)+3)</f>
        <v>0.863568061990211</v>
      </c>
      <c r="H47" s="48" t="n">
        <f aca="false">INDEX(Perf!$C$117:$Q$117,3*(Unit_Cost!H$6-1)+3)</f>
        <v>0.863568061990211</v>
      </c>
      <c r="I47" s="48" t="n">
        <f aca="false">INDEX(Perf!$C$117:$Q$117,3*(Unit_Cost!I$6-1)+3)</f>
        <v>1.0442157971414</v>
      </c>
      <c r="J47" s="48" t="n">
        <f aca="false">INDEX(Perf!$C$117:$Q$117,3*(Unit_Cost!J$6-1)+3)</f>
        <v>1.0442157971414</v>
      </c>
      <c r="K47" s="48" t="n">
        <f aca="false">INDEX(Perf!$C$117:$Q$117,3*(Unit_Cost!K$6-1)+3)</f>
        <v>1.0442157971414</v>
      </c>
      <c r="L47" s="48" t="n">
        <f aca="false">INDEX(Perf!$C$117:$Q$117,3*(Unit_Cost!L$6-1)+3)</f>
        <v>2.20498492836244</v>
      </c>
      <c r="M47" s="48" t="n">
        <f aca="false">INDEX(Perf!$C$117:$Q$117,3*(Unit_Cost!M$6-1)+3)</f>
        <v>2.20498492836244</v>
      </c>
      <c r="N47" s="48" t="n">
        <f aca="false">INDEX(Perf!$C$117:$Q$117,3*(Unit_Cost!N$6-1)+3)</f>
        <v>2.20498492836244</v>
      </c>
      <c r="O47" s="48" t="n">
        <f aca="false">INDEX(Perf!$C$117:$Q$117,3*(Unit_Cost!O$6-1)+3)</f>
        <v>3.20653316012323</v>
      </c>
      <c r="P47" s="48" t="n">
        <f aca="false">INDEX(Perf!$C$117:$Q$117,3*(Unit_Cost!P$6-1)+3)</f>
        <v>3.20653316012323</v>
      </c>
      <c r="Q47" s="48" t="n">
        <f aca="false">INDEX(Perf!$C$117:$Q$117,3*(Unit_Cost!Q$6-1)+3)</f>
        <v>3.20653316012323</v>
      </c>
      <c r="R47" s="17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2389</v>
      </c>
      <c r="U47" s="41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2" t="s">
        <v>2400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1" t="s">
        <v>2413</v>
      </c>
      <c r="B48" s="28" t="s">
        <v>93</v>
      </c>
      <c r="C48" s="185" t="n">
        <f aca="false">Serving!$C$17</f>
        <v>0.6</v>
      </c>
      <c r="R48" s="175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28" t="s">
        <v>2414</v>
      </c>
      <c r="U48" s="41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2" t="s">
        <v>2415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1" t="s">
        <v>2416</v>
      </c>
      <c r="C50" s="52" t="s">
        <v>2417</v>
      </c>
    </row>
    <row r="52" customFormat="false" ht="15" hidden="false" customHeight="true" outlineLevel="0" collapsed="false">
      <c r="A52" s="40" t="s">
        <v>2418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249</v>
      </c>
    </row>
    <row r="54" customFormat="false" ht="15" hidden="false" customHeight="true" outlineLevel="0" collapsed="false">
      <c r="A54" s="41" t="s">
        <v>2419</v>
      </c>
      <c r="B54" s="28" t="s">
        <v>1010</v>
      </c>
      <c r="C54" s="46" t="n">
        <f aca="false">INDEX(Training!$C$106:$Q$106,3*(Unit_Cost!C$6-1)+1)</f>
        <v>6394168.86869692</v>
      </c>
      <c r="D54" s="46" t="n">
        <f aca="false">INDEX(Training!$C$106:$Q$106,3*(Unit_Cost!D$6-1)+1)</f>
        <v>6394168.86869692</v>
      </c>
      <c r="E54" s="46" t="n">
        <f aca="false">INDEX(Training!$C$106:$Q$106,3*(Unit_Cost!E$6-1)+1)</f>
        <v>6394168.86869692</v>
      </c>
      <c r="F54" s="46" t="n">
        <f aca="false">INDEX(Training!$C$106:$Q$106,3*(Unit_Cost!F$6-1)+1)</f>
        <v>2079780.169416</v>
      </c>
      <c r="G54" s="46" t="n">
        <f aca="false">INDEX(Training!$C$106:$Q$106,3*(Unit_Cost!G$6-1)+1)</f>
        <v>2079780.169416</v>
      </c>
      <c r="H54" s="46" t="n">
        <f aca="false">INDEX(Training!$C$106:$Q$106,3*(Unit_Cost!H$6-1)+1)</f>
        <v>2079780.169416</v>
      </c>
      <c r="I54" s="46" t="n">
        <f aca="false">INDEX(Training!$C$106:$Q$106,3*(Unit_Cost!I$6-1)+1)</f>
        <v>1775249.94775683</v>
      </c>
      <c r="J54" s="46" t="n">
        <f aca="false">INDEX(Training!$C$106:$Q$106,3*(Unit_Cost!J$6-1)+1)</f>
        <v>1775249.94775683</v>
      </c>
      <c r="K54" s="46" t="n">
        <f aca="false">INDEX(Training!$C$106:$Q$106,3*(Unit_Cost!K$6-1)+1)</f>
        <v>1775249.94775683</v>
      </c>
      <c r="L54" s="46" t="n">
        <f aca="false">INDEX(Training!$C$106:$Q$106,3*(Unit_Cost!L$6-1)+1)</f>
        <v>704197.648874947</v>
      </c>
      <c r="M54" s="46" t="n">
        <f aca="false">INDEX(Training!$C$106:$Q$106,3*(Unit_Cost!M$6-1)+1)</f>
        <v>704197.648874947</v>
      </c>
      <c r="N54" s="46" t="n">
        <f aca="false">INDEX(Training!$C$106:$Q$106,3*(Unit_Cost!N$6-1)+1)</f>
        <v>704197.648874947</v>
      </c>
      <c r="O54" s="46" t="n">
        <f aca="false">INDEX(Training!$C$106:$Q$106,3*(Unit_Cost!O$6-1)+1)</f>
        <v>305060.599619606</v>
      </c>
      <c r="P54" s="46" t="n">
        <f aca="false">INDEX(Training!$C$106:$Q$106,3*(Unit_Cost!P$6-1)+1)</f>
        <v>305060.599619606</v>
      </c>
      <c r="Q54" s="46" t="n">
        <f aca="false">INDEX(Training!$C$106:$Q$106,3*(Unit_Cost!Q$6-1)+1)</f>
        <v>305060.599619606</v>
      </c>
      <c r="R54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28" t="s">
        <v>608</v>
      </c>
      <c r="U54" s="41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2" t="s">
        <v>2420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1" t="s">
        <v>2421</v>
      </c>
      <c r="B55" s="28" t="s">
        <v>865</v>
      </c>
      <c r="C55" s="186" t="n">
        <f aca="false">IF(ISNUMBER(INDEX(Training!$C$106:$Q$106,3*(Unit_Cost!C$6-1)+1)),INDEX(Training!$C$106:$Q$106,3*(Unit_Cost!C$6-1)+1)*Unit_Cost!C$8/1000000,INDEX(Training!$C$106:$Q$106,3*(Unit_Cost!C$6-1)+1))</f>
        <v>6.90343155422855</v>
      </c>
      <c r="D55" s="186" t="n">
        <f aca="false">IF(ISNUMBER(INDEX(Training!$C$106:$Q$106,3*(Unit_Cost!D$6-1)+1)),INDEX(Training!$C$106:$Q$106,3*(Unit_Cost!D$6-1)+1)*Unit_Cost!D$8/1000000,INDEX(Training!$C$106:$Q$106,3*(Unit_Cost!D$6-1)+1))</f>
        <v>9.86362282325948</v>
      </c>
      <c r="E55" s="186" t="n">
        <f aca="false">IF(ISNUMBER(INDEX(Training!$C$106:$Q$106,3*(Unit_Cost!E$6-1)+1)),INDEX(Training!$C$106:$Q$106,3*(Unit_Cost!E$6-1)+1)*Unit_Cost!E$8/1000000,INDEX(Training!$C$106:$Q$106,3*(Unit_Cost!E$6-1)+1))</f>
        <v>16.9394682970749</v>
      </c>
      <c r="F55" s="186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86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86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86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86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86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86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86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86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86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86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86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28" t="s">
        <v>608</v>
      </c>
      <c r="U55" s="41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2" t="s">
        <v>2422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1" t="s">
        <v>2423</v>
      </c>
      <c r="B56" s="28" t="s">
        <v>93</v>
      </c>
      <c r="C56" s="187" t="n">
        <f aca="false">INDEX(Training!$C$110:$Q$110,3*(Unit_Cost!C$6-1)+1)</f>
        <v>0.131230136086418</v>
      </c>
      <c r="D56" s="187" t="n">
        <f aca="false">INDEX(Training!$C$110:$Q$110,3*(Unit_Cost!D$6-1)+1)</f>
        <v>0.131230136086418</v>
      </c>
      <c r="E56" s="187" t="n">
        <f aca="false">INDEX(Training!$C$110:$Q$110,3*(Unit_Cost!E$6-1)+1)</f>
        <v>0.131230136086418</v>
      </c>
      <c r="F56" s="187" t="n">
        <f aca="false">INDEX(Training!$C$110:$Q$110,3*(Unit_Cost!F$6-1)+1)</f>
        <v>0.131230136086418</v>
      </c>
      <c r="G56" s="187" t="n">
        <f aca="false">INDEX(Training!$C$110:$Q$110,3*(Unit_Cost!G$6-1)+1)</f>
        <v>0.131230136086418</v>
      </c>
      <c r="H56" s="187" t="n">
        <f aca="false">INDEX(Training!$C$110:$Q$110,3*(Unit_Cost!H$6-1)+1)</f>
        <v>0.131230136086418</v>
      </c>
      <c r="I56" s="187" t="n">
        <f aca="false">INDEX(Training!$C$110:$Q$110,3*(Unit_Cost!I$6-1)+1)</f>
        <v>0.131230136086418</v>
      </c>
      <c r="J56" s="187" t="n">
        <f aca="false">INDEX(Training!$C$110:$Q$110,3*(Unit_Cost!J$6-1)+1)</f>
        <v>0.131230136086418</v>
      </c>
      <c r="K56" s="187" t="n">
        <f aca="false">INDEX(Training!$C$110:$Q$110,3*(Unit_Cost!K$6-1)+1)</f>
        <v>0.131230136086418</v>
      </c>
      <c r="L56" s="187" t="n">
        <f aca="false">INDEX(Training!$C$110:$Q$110,3*(Unit_Cost!L$6-1)+1)</f>
        <v>0.131230136086418</v>
      </c>
      <c r="M56" s="187" t="n">
        <f aca="false">INDEX(Training!$C$110:$Q$110,3*(Unit_Cost!M$6-1)+1)</f>
        <v>0.131230136086418</v>
      </c>
      <c r="N56" s="187" t="n">
        <f aca="false">INDEX(Training!$C$110:$Q$110,3*(Unit_Cost!N$6-1)+1)</f>
        <v>0.131230136086418</v>
      </c>
      <c r="O56" s="187" t="n">
        <f aca="false">INDEX(Training!$C$110:$Q$110,3*(Unit_Cost!O$6-1)+1)</f>
        <v>0.131230136086418</v>
      </c>
      <c r="P56" s="187" t="n">
        <f aca="false">INDEX(Training!$C$110:$Q$110,3*(Unit_Cost!P$6-1)+1)</f>
        <v>0.131230136086418</v>
      </c>
      <c r="Q56" s="187" t="n">
        <f aca="false">INDEX(Training!$C$110:$Q$110,3*(Unit_Cost!Q$6-1)+1)</f>
        <v>0.131230136086418</v>
      </c>
      <c r="R56" s="17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28" t="s">
        <v>608</v>
      </c>
      <c r="U56" s="41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2" t="s">
        <v>2424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1" t="s">
        <v>2425</v>
      </c>
      <c r="B57" s="28" t="s">
        <v>93</v>
      </c>
      <c r="C57" s="188" t="n">
        <f aca="false">INDEX(Training!$C$111:$Q$111,3*(Unit_Cost!C$6-1)+1)</f>
        <v>0.30539979787603</v>
      </c>
      <c r="D57" s="188" t="n">
        <f aca="false">INDEX(Training!$C$111:$Q$111,3*(Unit_Cost!D$6-1)+1)</f>
        <v>0.30539979787603</v>
      </c>
      <c r="E57" s="188" t="n">
        <f aca="false">INDEX(Training!$C$111:$Q$111,3*(Unit_Cost!E$6-1)+1)</f>
        <v>0.30539979787603</v>
      </c>
      <c r="F57" s="188" t="n">
        <f aca="false">INDEX(Training!$C$111:$Q$111,3*(Unit_Cost!F$6-1)+1)</f>
        <v>0.269893093641953</v>
      </c>
      <c r="G57" s="188" t="n">
        <f aca="false">INDEX(Training!$C$111:$Q$111,3*(Unit_Cost!G$6-1)+1)</f>
        <v>0.269893093641953</v>
      </c>
      <c r="H57" s="188" t="n">
        <f aca="false">INDEX(Training!$C$111:$Q$111,3*(Unit_Cost!H$6-1)+1)</f>
        <v>0.269893093641953</v>
      </c>
      <c r="I57" s="188" t="n">
        <f aca="false">INDEX(Training!$C$111:$Q$111,3*(Unit_Cost!I$6-1)+1)</f>
        <v>0.238707389111481</v>
      </c>
      <c r="J57" s="188" t="n">
        <f aca="false">INDEX(Training!$C$111:$Q$111,3*(Unit_Cost!J$6-1)+1)</f>
        <v>0.238707389111481</v>
      </c>
      <c r="K57" s="188" t="n">
        <f aca="false">INDEX(Training!$C$111:$Q$111,3*(Unit_Cost!K$6-1)+1)</f>
        <v>0.238707389111481</v>
      </c>
      <c r="L57" s="188" t="n">
        <f aca="false">INDEX(Training!$C$111:$Q$111,3*(Unit_Cost!L$6-1)+1)</f>
        <v>0.286511860627156</v>
      </c>
      <c r="M57" s="188" t="n">
        <f aca="false">INDEX(Training!$C$111:$Q$111,3*(Unit_Cost!M$6-1)+1)</f>
        <v>0.286511860627156</v>
      </c>
      <c r="N57" s="188" t="n">
        <f aca="false">INDEX(Training!$C$111:$Q$111,3*(Unit_Cost!N$6-1)+1)</f>
        <v>0.286511860627156</v>
      </c>
      <c r="O57" s="188" t="n">
        <f aca="false">INDEX(Training!$C$111:$Q$111,3*(Unit_Cost!O$6-1)+1)</f>
        <v>0.26008816948871</v>
      </c>
      <c r="P57" s="188" t="n">
        <f aca="false">INDEX(Training!$C$111:$Q$111,3*(Unit_Cost!P$6-1)+1)</f>
        <v>0.26008816948871</v>
      </c>
      <c r="Q57" s="188" t="n">
        <f aca="false">INDEX(Training!$C$111:$Q$111,3*(Unit_Cost!Q$6-1)+1)</f>
        <v>0.26008816948871</v>
      </c>
      <c r="R57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28" t="s">
        <v>608</v>
      </c>
      <c r="U57" s="41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2" t="s">
        <v>2426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2427</v>
      </c>
      <c r="B58" s="28" t="s">
        <v>93</v>
      </c>
      <c r="C58" s="187" t="n">
        <f aca="false">INDEX(Training!$C$77:$Q$77,3*(Unit_Cost!C$6-1)+1)</f>
        <v>0.0761956076461837</v>
      </c>
      <c r="D58" s="187" t="n">
        <f aca="false">INDEX(Training!$C$77:$Q$77,3*(Unit_Cost!D$6-1)+1)</f>
        <v>0.0761956076461837</v>
      </c>
      <c r="E58" s="187" t="n">
        <f aca="false">INDEX(Training!$C$77:$Q$77,3*(Unit_Cost!E$6-1)+1)</f>
        <v>0.0761956076461837</v>
      </c>
      <c r="F58" s="187" t="n">
        <f aca="false">INDEX(Training!$C$77:$Q$77,3*(Unit_Cost!F$6-1)+1)</f>
        <v>0.0901475818714053</v>
      </c>
      <c r="G58" s="187" t="n">
        <f aca="false">INDEX(Training!$C$77:$Q$77,3*(Unit_Cost!G$6-1)+1)</f>
        <v>0.0901475818714053</v>
      </c>
      <c r="H58" s="187" t="n">
        <f aca="false">INDEX(Training!$C$77:$Q$77,3*(Unit_Cost!H$6-1)+1)</f>
        <v>0.0901475818714053</v>
      </c>
      <c r="I58" s="187" t="n">
        <f aca="false">INDEX(Training!$C$77:$Q$77,3*(Unit_Cost!I$6-1)+1)</f>
        <v>0.106320482312473</v>
      </c>
      <c r="J58" s="187" t="n">
        <f aca="false">INDEX(Training!$C$77:$Q$77,3*(Unit_Cost!J$6-1)+1)</f>
        <v>0.106320482312473</v>
      </c>
      <c r="K58" s="187" t="n">
        <f aca="false">INDEX(Training!$C$77:$Q$77,3*(Unit_Cost!K$6-1)+1)</f>
        <v>0.106320482312473</v>
      </c>
      <c r="L58" s="187" t="n">
        <f aca="false">INDEX(Training!$C$77:$Q$77,3*(Unit_Cost!L$6-1)+1)</f>
        <v>0.0746224482738129</v>
      </c>
      <c r="M58" s="187" t="n">
        <f aca="false">INDEX(Training!$C$77:$Q$77,3*(Unit_Cost!M$6-1)+1)</f>
        <v>0.0746224482738129</v>
      </c>
      <c r="N58" s="187" t="n">
        <f aca="false">INDEX(Training!$C$77:$Q$77,3*(Unit_Cost!N$6-1)+1)</f>
        <v>0.0746224482738129</v>
      </c>
      <c r="O58" s="187" t="n">
        <f aca="false">INDEX(Training!$C$77:$Q$77,3*(Unit_Cost!O$6-1)+1)</f>
        <v>0.0853336117258793</v>
      </c>
      <c r="P58" s="187" t="n">
        <f aca="false">INDEX(Training!$C$77:$Q$77,3*(Unit_Cost!P$6-1)+1)</f>
        <v>0.0853336117258793</v>
      </c>
      <c r="Q58" s="187" t="n">
        <f aca="false">INDEX(Training!$C$77:$Q$77,3*(Unit_Cost!Q$6-1)+1)</f>
        <v>0.0853336117258793</v>
      </c>
      <c r="R58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28" t="s">
        <v>608</v>
      </c>
      <c r="U58" s="41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2" t="s">
        <v>2428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1" t="s">
        <v>2429</v>
      </c>
      <c r="B59" s="28" t="s">
        <v>1010</v>
      </c>
      <c r="C59" s="182" t="n">
        <f aca="false">INDEX(Training!$C$120:$Q$120,3*(Unit_Cost!C$6-1)+1)</f>
        <v>51153350.9495753</v>
      </c>
      <c r="D59" s="182" t="n">
        <f aca="false">INDEX(Training!$C$120:$Q$120,3*(Unit_Cost!D$6-1)+1)</f>
        <v>51153350.9495753</v>
      </c>
      <c r="E59" s="182" t="n">
        <f aca="false">INDEX(Training!$C$120:$Q$120,3*(Unit_Cost!E$6-1)+1)</f>
        <v>51153350.9495753</v>
      </c>
      <c r="F59" s="182" t="n">
        <f aca="false">INDEX(Training!$C$120:$Q$120,3*(Unit_Cost!F$6-1)+1)</f>
        <v>16638241.355328</v>
      </c>
      <c r="G59" s="182" t="n">
        <f aca="false">INDEX(Training!$C$120:$Q$120,3*(Unit_Cost!G$6-1)+1)</f>
        <v>16638241.355328</v>
      </c>
      <c r="H59" s="182" t="n">
        <f aca="false">INDEX(Training!$C$120:$Q$120,3*(Unit_Cost!H$6-1)+1)</f>
        <v>16638241.355328</v>
      </c>
      <c r="I59" s="182" t="n">
        <f aca="false">INDEX(Training!$C$120:$Q$120,3*(Unit_Cost!I$6-1)+1)</f>
        <v>14201999.5820546</v>
      </c>
      <c r="J59" s="182" t="n">
        <f aca="false">INDEX(Training!$C$120:$Q$120,3*(Unit_Cost!J$6-1)+1)</f>
        <v>14201999.5820546</v>
      </c>
      <c r="K59" s="182" t="n">
        <f aca="false">INDEX(Training!$C$120:$Q$120,3*(Unit_Cost!K$6-1)+1)</f>
        <v>14201999.5820546</v>
      </c>
      <c r="L59" s="182" t="n">
        <f aca="false">INDEX(Training!$C$120:$Q$120,3*(Unit_Cost!L$6-1)+1)</f>
        <v>5633581.19099958</v>
      </c>
      <c r="M59" s="182" t="n">
        <f aca="false">INDEX(Training!$C$120:$Q$120,3*(Unit_Cost!M$6-1)+1)</f>
        <v>5633581.19099958</v>
      </c>
      <c r="N59" s="182" t="n">
        <f aca="false">INDEX(Training!$C$120:$Q$120,3*(Unit_Cost!N$6-1)+1)</f>
        <v>5633581.19099958</v>
      </c>
      <c r="O59" s="182" t="n">
        <f aca="false">INDEX(Training!$C$120:$Q$120,3*(Unit_Cost!O$6-1)+1)</f>
        <v>2440484.79695685</v>
      </c>
      <c r="P59" s="182" t="n">
        <f aca="false">INDEX(Training!$C$120:$Q$120,3*(Unit_Cost!P$6-1)+1)</f>
        <v>2440484.79695685</v>
      </c>
      <c r="Q59" s="182" t="n">
        <f aca="false">INDEX(Training!$C$120:$Q$120,3*(Unit_Cost!Q$6-1)+1)</f>
        <v>2440484.79695685</v>
      </c>
      <c r="R59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28" t="s">
        <v>608</v>
      </c>
      <c r="U59" s="41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2" t="s">
        <v>2430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1" t="s">
        <v>2339</v>
      </c>
      <c r="B60" s="28" t="s">
        <v>865</v>
      </c>
      <c r="C60" s="182" t="n">
        <f aca="false">IF(ISNUMBER(INDEX(Training!$C$120:$Q$120,3*(Unit_Cost!C$6-1)+1)),INDEX(Training!$C$120:$Q$120,3*(Unit_Cost!C$6-1)+1)*Unit_Cost!C$8/1000000,INDEX(Training!$C$120:$Q$120,3*(Unit_Cost!C$6-1)+1))</f>
        <v>55.2274524338284</v>
      </c>
      <c r="D60" s="182" t="n">
        <f aca="false">IF(ISNUMBER(INDEX(Training!$C$120:$Q$120,3*(Unit_Cost!D$6-1)+1)),INDEX(Training!$C$120:$Q$120,3*(Unit_Cost!D$6-1)+1)*Unit_Cost!D$8/1000000,INDEX(Training!$C$120:$Q$120,3*(Unit_Cost!D$6-1)+1))</f>
        <v>78.9089825860758</v>
      </c>
      <c r="E60" s="182" t="n">
        <f aca="false">IF(ISNUMBER(INDEX(Training!$C$120:$Q$120,3*(Unit_Cost!E$6-1)+1)),INDEX(Training!$C$120:$Q$120,3*(Unit_Cost!E$6-1)+1)*Unit_Cost!E$8/1000000,INDEX(Training!$C$120:$Q$120,3*(Unit_Cost!E$6-1)+1))</f>
        <v>135.515746376599</v>
      </c>
      <c r="F60" s="182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2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2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2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2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2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2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2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2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2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2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2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28" t="s">
        <v>608</v>
      </c>
      <c r="U60" s="41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2" t="s">
        <v>2431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1" t="s">
        <v>2432</v>
      </c>
      <c r="B61" s="28" t="s">
        <v>93</v>
      </c>
      <c r="C61" s="189" t="n">
        <f aca="false">INDEX(Training!$C$123:$Q$123,3*(Unit_Cost!C$6-1)+1)</f>
        <v>0.00813235831640886</v>
      </c>
      <c r="D61" s="189" t="n">
        <f aca="false">INDEX(Training!$C$123:$Q$123,3*(Unit_Cost!D$6-1)+1)</f>
        <v>0.00813235831640886</v>
      </c>
      <c r="E61" s="189" t="n">
        <f aca="false">INDEX(Training!$C$123:$Q$123,3*(Unit_Cost!E$6-1)+1)</f>
        <v>0.00813235831640886</v>
      </c>
      <c r="F61" s="189" t="n">
        <f aca="false">INDEX(Training!$C$123:$Q$123,3*(Unit_Cost!F$6-1)+1)</f>
        <v>0.00378530041866208</v>
      </c>
      <c r="G61" s="189" t="n">
        <f aca="false">INDEX(Training!$C$123:$Q$123,3*(Unit_Cost!G$6-1)+1)</f>
        <v>0.00378530041866208</v>
      </c>
      <c r="H61" s="189" t="n">
        <f aca="false">INDEX(Training!$C$123:$Q$123,3*(Unit_Cost!H$6-1)+1)</f>
        <v>0.00378530041866208</v>
      </c>
      <c r="I61" s="189" t="n">
        <f aca="false">INDEX(Training!$C$123:$Q$123,3*(Unit_Cost!I$6-1)+1)</f>
        <v>0.00332896549749013</v>
      </c>
      <c r="J61" s="189" t="n">
        <f aca="false">INDEX(Training!$C$123:$Q$123,3*(Unit_Cost!J$6-1)+1)</f>
        <v>0.00332896549749013</v>
      </c>
      <c r="K61" s="189" t="n">
        <f aca="false">INDEX(Training!$C$123:$Q$123,3*(Unit_Cost!K$6-1)+1)</f>
        <v>0.00332896549749013</v>
      </c>
      <c r="L61" s="189" t="n">
        <f aca="false">INDEX(Training!$C$123:$Q$123,3*(Unit_Cost!L$6-1)+1)</f>
        <v>0.00220433968028437</v>
      </c>
      <c r="M61" s="189" t="n">
        <f aca="false">INDEX(Training!$C$123:$Q$123,3*(Unit_Cost!M$6-1)+1)</f>
        <v>0.00220433968028437</v>
      </c>
      <c r="N61" s="189" t="n">
        <f aca="false">INDEX(Training!$C$123:$Q$123,3*(Unit_Cost!N$6-1)+1)</f>
        <v>0.00220433968028437</v>
      </c>
      <c r="O61" s="189" t="n">
        <f aca="false">INDEX(Training!$C$123:$Q$123,3*(Unit_Cost!O$6-1)+1)</f>
        <v>0.00143044852589726</v>
      </c>
      <c r="P61" s="189" t="n">
        <f aca="false">INDEX(Training!$C$123:$Q$123,3*(Unit_Cost!P$6-1)+1)</f>
        <v>0.00143044852589726</v>
      </c>
      <c r="Q61" s="189" t="n">
        <f aca="false">INDEX(Training!$C$123:$Q$123,3*(Unit_Cost!Q$6-1)+1)</f>
        <v>0.00143044852589726</v>
      </c>
      <c r="R61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28" t="s">
        <v>608</v>
      </c>
      <c r="U61" s="41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2" t="s">
        <v>2433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250</v>
      </c>
    </row>
    <row r="63" customFormat="false" ht="15" hidden="false" customHeight="true" outlineLevel="0" collapsed="false">
      <c r="A63" s="41" t="s">
        <v>2434</v>
      </c>
      <c r="B63" s="28" t="s">
        <v>1010</v>
      </c>
      <c r="C63" s="46" t="n">
        <f aca="false">INDEX(Training!$C$106:$Q$106,3*(Unit_Cost!C$6-1)+2)</f>
        <v>18199062.8050043</v>
      </c>
      <c r="D63" s="46" t="n">
        <f aca="false">INDEX(Training!$C$106:$Q$106,3*(Unit_Cost!D$6-1)+2)</f>
        <v>18199062.8050043</v>
      </c>
      <c r="E63" s="46" t="n">
        <f aca="false">INDEX(Training!$C$106:$Q$106,3*(Unit_Cost!E$6-1)+2)</f>
        <v>18199062.8050043</v>
      </c>
      <c r="F63" s="46" t="n">
        <f aca="false">INDEX(Training!$C$106:$Q$106,3*(Unit_Cost!F$6-1)+2)</f>
        <v>6152335.11648947</v>
      </c>
      <c r="G63" s="46" t="n">
        <f aca="false">INDEX(Training!$C$106:$Q$106,3*(Unit_Cost!G$6-1)+2)</f>
        <v>6152335.11648947</v>
      </c>
      <c r="H63" s="46" t="n">
        <f aca="false">INDEX(Training!$C$106:$Q$106,3*(Unit_Cost!H$6-1)+2)</f>
        <v>6152335.11648947</v>
      </c>
      <c r="I63" s="46" t="n">
        <f aca="false">INDEX(Training!$C$106:$Q$106,3*(Unit_Cost!I$6-1)+2)</f>
        <v>5453953.11066573</v>
      </c>
      <c r="J63" s="46" t="n">
        <f aca="false">INDEX(Training!$C$106:$Q$106,3*(Unit_Cost!J$6-1)+2)</f>
        <v>5453953.11066573</v>
      </c>
      <c r="K63" s="46" t="n">
        <f aca="false">INDEX(Training!$C$106:$Q$106,3*(Unit_Cost!K$6-1)+2)</f>
        <v>5453953.11066573</v>
      </c>
      <c r="L63" s="46" t="n">
        <f aca="false">INDEX(Training!$C$106:$Q$106,3*(Unit_Cost!L$6-1)+2)</f>
        <v>2051289.25958755</v>
      </c>
      <c r="M63" s="46" t="n">
        <f aca="false">INDEX(Training!$C$106:$Q$106,3*(Unit_Cost!M$6-1)+2)</f>
        <v>2051289.25958755</v>
      </c>
      <c r="N63" s="46" t="n">
        <f aca="false">INDEX(Training!$C$106:$Q$106,3*(Unit_Cost!N$6-1)+2)</f>
        <v>2051289.25958755</v>
      </c>
      <c r="O63" s="46" t="n">
        <f aca="false">INDEX(Training!$C$106:$Q$106,3*(Unit_Cost!O$6-1)+2)</f>
        <v>919050.37142924</v>
      </c>
      <c r="P63" s="46" t="n">
        <f aca="false">INDEX(Training!$C$106:$Q$106,3*(Unit_Cost!P$6-1)+2)</f>
        <v>919050.37142924</v>
      </c>
      <c r="Q63" s="46" t="n">
        <f aca="false">INDEX(Training!$C$106:$Q$106,3*(Unit_Cost!Q$6-1)+2)</f>
        <v>919050.37142924</v>
      </c>
      <c r="R63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28" t="s">
        <v>608</v>
      </c>
      <c r="U63" s="41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2" t="s">
        <v>2420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1" t="s">
        <v>2435</v>
      </c>
      <c r="B64" s="28" t="s">
        <v>865</v>
      </c>
      <c r="C64" s="186" t="n">
        <f aca="false">IF(ISNUMBER(INDEX(Training!$C$106:$Q$106,3*(Unit_Cost!C$6-1)+2)),INDEX(Training!$C$106:$Q$106,3*(Unit_Cost!C$6-1)+2)*Unit_Cost!C$8/1000000,INDEX(Training!$C$106:$Q$106,3*(Unit_Cost!C$6-1)+2))</f>
        <v>19.6485246175642</v>
      </c>
      <c r="D64" s="186" t="n">
        <f aca="false">IF(ISNUMBER(INDEX(Training!$C$106:$Q$106,3*(Unit_Cost!D$6-1)+2)),INDEX(Training!$C$106:$Q$106,3*(Unit_Cost!D$6-1)+2)*Unit_Cost!D$8/1000000,INDEX(Training!$C$106:$Q$106,3*(Unit_Cost!D$6-1)+2))</f>
        <v>28.0738114572123</v>
      </c>
      <c r="E64" s="186" t="n">
        <f aca="false">IF(ISNUMBER(INDEX(Training!$C$106:$Q$106,3*(Unit_Cost!E$6-1)+2)),INDEX(Training!$C$106:$Q$106,3*(Unit_Cost!E$6-1)+2)*Unit_Cost!E$8/1000000,INDEX(Training!$C$106:$Q$106,3*(Unit_Cost!E$6-1)+2))</f>
        <v>48.213060016457</v>
      </c>
      <c r="F64" s="186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86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86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86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86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86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86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86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86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86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86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86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28" t="s">
        <v>608</v>
      </c>
      <c r="U64" s="41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2" t="s">
        <v>2422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1" t="s">
        <v>2436</v>
      </c>
      <c r="B65" s="28" t="s">
        <v>93</v>
      </c>
      <c r="C65" s="187" t="n">
        <f aca="false">INDEX(Training!$C$110:$Q$110,3*(Unit_Cost!C$6-1)+2)</f>
        <v>0.127029214627552</v>
      </c>
      <c r="D65" s="187" t="n">
        <f aca="false">INDEX(Training!$C$110:$Q$110,3*(Unit_Cost!D$6-1)+2)</f>
        <v>0.127029214627552</v>
      </c>
      <c r="E65" s="187" t="n">
        <f aca="false">INDEX(Training!$C$110:$Q$110,3*(Unit_Cost!E$6-1)+2)</f>
        <v>0.127029214627552</v>
      </c>
      <c r="F65" s="187" t="n">
        <f aca="false">INDEX(Training!$C$110:$Q$110,3*(Unit_Cost!F$6-1)+2)</f>
        <v>0.127029214627552</v>
      </c>
      <c r="G65" s="187" t="n">
        <f aca="false">INDEX(Training!$C$110:$Q$110,3*(Unit_Cost!G$6-1)+2)</f>
        <v>0.127029214627552</v>
      </c>
      <c r="H65" s="187" t="n">
        <f aca="false">INDEX(Training!$C$110:$Q$110,3*(Unit_Cost!H$6-1)+2)</f>
        <v>0.127029214627552</v>
      </c>
      <c r="I65" s="187" t="n">
        <f aca="false">INDEX(Training!$C$110:$Q$110,3*(Unit_Cost!I$6-1)+2)</f>
        <v>0.127029214627552</v>
      </c>
      <c r="J65" s="187" t="n">
        <f aca="false">INDEX(Training!$C$110:$Q$110,3*(Unit_Cost!J$6-1)+2)</f>
        <v>0.127029214627552</v>
      </c>
      <c r="K65" s="187" t="n">
        <f aca="false">INDEX(Training!$C$110:$Q$110,3*(Unit_Cost!K$6-1)+2)</f>
        <v>0.127029214627552</v>
      </c>
      <c r="L65" s="187" t="n">
        <f aca="false">INDEX(Training!$C$110:$Q$110,3*(Unit_Cost!L$6-1)+2)</f>
        <v>0.127029214627552</v>
      </c>
      <c r="M65" s="187" t="n">
        <f aca="false">INDEX(Training!$C$110:$Q$110,3*(Unit_Cost!M$6-1)+2)</f>
        <v>0.127029214627552</v>
      </c>
      <c r="N65" s="187" t="n">
        <f aca="false">INDEX(Training!$C$110:$Q$110,3*(Unit_Cost!N$6-1)+2)</f>
        <v>0.127029214627552</v>
      </c>
      <c r="O65" s="187" t="n">
        <f aca="false">INDEX(Training!$C$110:$Q$110,3*(Unit_Cost!O$6-1)+2)</f>
        <v>0.127029214627552</v>
      </c>
      <c r="P65" s="187" t="n">
        <f aca="false">INDEX(Training!$C$110:$Q$110,3*(Unit_Cost!P$6-1)+2)</f>
        <v>0.127029214627552</v>
      </c>
      <c r="Q65" s="187" t="n">
        <f aca="false">INDEX(Training!$C$110:$Q$110,3*(Unit_Cost!Q$6-1)+2)</f>
        <v>0.127029214627552</v>
      </c>
      <c r="R65" s="17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28" t="s">
        <v>608</v>
      </c>
      <c r="U65" s="41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2" t="s">
        <v>2424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1" t="s">
        <v>2437</v>
      </c>
      <c r="B66" s="28" t="s">
        <v>93</v>
      </c>
      <c r="C66" s="188" t="n">
        <f aca="false">INDEX(Training!$C$111:$Q$111,3*(Unit_Cost!C$6-1)+2)</f>
        <v>0.309968546647496</v>
      </c>
      <c r="D66" s="188" t="n">
        <f aca="false">INDEX(Training!$C$111:$Q$111,3*(Unit_Cost!D$6-1)+2)</f>
        <v>0.309968546647496</v>
      </c>
      <c r="E66" s="188" t="n">
        <f aca="false">INDEX(Training!$C$111:$Q$111,3*(Unit_Cost!E$6-1)+2)</f>
        <v>0.309968546647496</v>
      </c>
      <c r="F66" s="188" t="n">
        <f aca="false">INDEX(Training!$C$111:$Q$111,3*(Unit_Cost!F$6-1)+2)</f>
        <v>0.267986465704979</v>
      </c>
      <c r="G66" s="188" t="n">
        <f aca="false">INDEX(Training!$C$111:$Q$111,3*(Unit_Cost!G$6-1)+2)</f>
        <v>0.267986465704979</v>
      </c>
      <c r="H66" s="188" t="n">
        <f aca="false">INDEX(Training!$C$111:$Q$111,3*(Unit_Cost!H$6-1)+2)</f>
        <v>0.267986465704979</v>
      </c>
      <c r="I66" s="188" t="n">
        <f aca="false">INDEX(Training!$C$111:$Q$111,3*(Unit_Cost!I$6-1)+2)</f>
        <v>0.235738956226448</v>
      </c>
      <c r="J66" s="188" t="n">
        <f aca="false">INDEX(Training!$C$111:$Q$111,3*(Unit_Cost!J$6-1)+2)</f>
        <v>0.235738956226448</v>
      </c>
      <c r="K66" s="188" t="n">
        <f aca="false">INDEX(Training!$C$111:$Q$111,3*(Unit_Cost!K$6-1)+2)</f>
        <v>0.235738956226448</v>
      </c>
      <c r="L66" s="188" t="n">
        <f aca="false">INDEX(Training!$C$111:$Q$111,3*(Unit_Cost!L$6-1)+2)</f>
        <v>0.282310936548276</v>
      </c>
      <c r="M66" s="188" t="n">
        <f aca="false">INDEX(Training!$C$111:$Q$111,3*(Unit_Cost!M$6-1)+2)</f>
        <v>0.282310936548276</v>
      </c>
      <c r="N66" s="188" t="n">
        <f aca="false">INDEX(Training!$C$111:$Q$111,3*(Unit_Cost!N$6-1)+2)</f>
        <v>0.282310936548276</v>
      </c>
      <c r="O66" s="188" t="n">
        <f aca="false">INDEX(Training!$C$111:$Q$111,3*(Unit_Cost!O$6-1)+2)</f>
        <v>0.254949018157508</v>
      </c>
      <c r="P66" s="188" t="n">
        <f aca="false">INDEX(Training!$C$111:$Q$111,3*(Unit_Cost!P$6-1)+2)</f>
        <v>0.254949018157508</v>
      </c>
      <c r="Q66" s="188" t="n">
        <f aca="false">INDEX(Training!$C$111:$Q$111,3*(Unit_Cost!Q$6-1)+2)</f>
        <v>0.254949018157508</v>
      </c>
      <c r="R66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28" t="s">
        <v>608</v>
      </c>
      <c r="U66" s="41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2" t="s">
        <v>2426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2438</v>
      </c>
      <c r="B67" s="28" t="s">
        <v>93</v>
      </c>
      <c r="C67" s="187" t="n">
        <f aca="false">INDEX(Training!$C$77:$Q$77,3*(Unit_Cost!C$6-1)+2)</f>
        <v>0.0716763337592282</v>
      </c>
      <c r="D67" s="187" t="n">
        <f aca="false">INDEX(Training!$C$77:$Q$77,3*(Unit_Cost!D$6-1)+2)</f>
        <v>0.0716763337592282</v>
      </c>
      <c r="E67" s="187" t="n">
        <f aca="false">INDEX(Training!$C$77:$Q$77,3*(Unit_Cost!E$6-1)+2)</f>
        <v>0.0716763337592282</v>
      </c>
      <c r="F67" s="187" t="n">
        <f aca="false">INDEX(Training!$C$77:$Q$77,3*(Unit_Cost!F$6-1)+2)</f>
        <v>0.0874404965486068</v>
      </c>
      <c r="G67" s="187" t="n">
        <f aca="false">INDEX(Training!$C$77:$Q$77,3*(Unit_Cost!G$6-1)+2)</f>
        <v>0.0874404965486068</v>
      </c>
      <c r="H67" s="187" t="n">
        <f aca="false">INDEX(Training!$C$77:$Q$77,3*(Unit_Cost!H$6-1)+2)</f>
        <v>0.0874404965486068</v>
      </c>
      <c r="I67" s="187" t="n">
        <f aca="false">INDEX(Training!$C$77:$Q$77,3*(Unit_Cost!I$6-1)+2)</f>
        <v>0.103815837007901</v>
      </c>
      <c r="J67" s="187" t="n">
        <f aca="false">INDEX(Training!$C$77:$Q$77,3*(Unit_Cost!J$6-1)+2)</f>
        <v>0.103815837007901</v>
      </c>
      <c r="K67" s="187" t="n">
        <f aca="false">INDEX(Training!$C$77:$Q$77,3*(Unit_Cost!K$6-1)+2)</f>
        <v>0.103815837007901</v>
      </c>
      <c r="L67" s="187" t="n">
        <f aca="false">INDEX(Training!$C$77:$Q$77,3*(Unit_Cost!L$6-1)+2)</f>
        <v>0.0731801304364245</v>
      </c>
      <c r="M67" s="187" t="n">
        <f aca="false">INDEX(Training!$C$77:$Q$77,3*(Unit_Cost!M$6-1)+2)</f>
        <v>0.0731801304364245</v>
      </c>
      <c r="N67" s="187" t="n">
        <f aca="false">INDEX(Training!$C$77:$Q$77,3*(Unit_Cost!N$6-1)+2)</f>
        <v>0.0731801304364245</v>
      </c>
      <c r="O67" s="187" t="n">
        <f aca="false">INDEX(Training!$C$77:$Q$77,3*(Unit_Cost!O$6-1)+2)</f>
        <v>0.0842149737466073</v>
      </c>
      <c r="P67" s="187" t="n">
        <f aca="false">INDEX(Training!$C$77:$Q$77,3*(Unit_Cost!P$6-1)+2)</f>
        <v>0.0842149737466073</v>
      </c>
      <c r="Q67" s="187" t="n">
        <f aca="false">INDEX(Training!$C$77:$Q$77,3*(Unit_Cost!Q$6-1)+2)</f>
        <v>0.0842149737466073</v>
      </c>
      <c r="R67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28" t="s">
        <v>608</v>
      </c>
      <c r="U67" s="41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2" t="s">
        <v>2428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1" t="s">
        <v>2439</v>
      </c>
      <c r="B68" s="28" t="s">
        <v>1010</v>
      </c>
      <c r="C68" s="182" t="n">
        <f aca="false">INDEX(Training!$C$120:$Q$120,3*(Unit_Cost!C$6-1)+2)</f>
        <v>145592502.440035</v>
      </c>
      <c r="D68" s="182" t="n">
        <f aca="false">INDEX(Training!$C$120:$Q$120,3*(Unit_Cost!D$6-1)+2)</f>
        <v>145592502.440035</v>
      </c>
      <c r="E68" s="182" t="n">
        <f aca="false">INDEX(Training!$C$120:$Q$120,3*(Unit_Cost!E$6-1)+2)</f>
        <v>145592502.440035</v>
      </c>
      <c r="F68" s="182" t="n">
        <f aca="false">INDEX(Training!$C$120:$Q$120,3*(Unit_Cost!F$6-1)+2)</f>
        <v>49218680.9319158</v>
      </c>
      <c r="G68" s="182" t="n">
        <f aca="false">INDEX(Training!$C$120:$Q$120,3*(Unit_Cost!G$6-1)+2)</f>
        <v>49218680.9319158</v>
      </c>
      <c r="H68" s="182" t="n">
        <f aca="false">INDEX(Training!$C$120:$Q$120,3*(Unit_Cost!H$6-1)+2)</f>
        <v>49218680.9319158</v>
      </c>
      <c r="I68" s="182" t="n">
        <f aca="false">INDEX(Training!$C$120:$Q$120,3*(Unit_Cost!I$6-1)+2)</f>
        <v>43631624.8853258</v>
      </c>
      <c r="J68" s="182" t="n">
        <f aca="false">INDEX(Training!$C$120:$Q$120,3*(Unit_Cost!J$6-1)+2)</f>
        <v>43631624.8853258</v>
      </c>
      <c r="K68" s="182" t="n">
        <f aca="false">INDEX(Training!$C$120:$Q$120,3*(Unit_Cost!K$6-1)+2)</f>
        <v>43631624.8853258</v>
      </c>
      <c r="L68" s="182" t="n">
        <f aca="false">INDEX(Training!$C$120:$Q$120,3*(Unit_Cost!L$6-1)+2)</f>
        <v>16410314.0767004</v>
      </c>
      <c r="M68" s="182" t="n">
        <f aca="false">INDEX(Training!$C$120:$Q$120,3*(Unit_Cost!M$6-1)+2)</f>
        <v>16410314.0767004</v>
      </c>
      <c r="N68" s="182" t="n">
        <f aca="false">INDEX(Training!$C$120:$Q$120,3*(Unit_Cost!N$6-1)+2)</f>
        <v>16410314.0767004</v>
      </c>
      <c r="O68" s="182" t="n">
        <f aca="false">INDEX(Training!$C$120:$Q$120,3*(Unit_Cost!O$6-1)+2)</f>
        <v>7352402.97143392</v>
      </c>
      <c r="P68" s="182" t="n">
        <f aca="false">INDEX(Training!$C$120:$Q$120,3*(Unit_Cost!P$6-1)+2)</f>
        <v>7352402.97143392</v>
      </c>
      <c r="Q68" s="182" t="n">
        <f aca="false">INDEX(Training!$C$120:$Q$120,3*(Unit_Cost!Q$6-1)+2)</f>
        <v>7352402.97143392</v>
      </c>
      <c r="R68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28" t="s">
        <v>608</v>
      </c>
      <c r="U68" s="41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2" t="s">
        <v>2430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1" t="s">
        <v>2340</v>
      </c>
      <c r="B69" s="28" t="s">
        <v>865</v>
      </c>
      <c r="C69" s="182" t="n">
        <f aca="false">IF(ISNUMBER(INDEX(Training!$C$120:$Q$120,3*(Unit_Cost!C$6-1)+2)),INDEX(Training!$C$120:$Q$120,3*(Unit_Cost!C$6-1)+2)*Unit_Cost!C$8/1000000,INDEX(Training!$C$120:$Q$120,3*(Unit_Cost!C$6-1)+2))</f>
        <v>157.188196940514</v>
      </c>
      <c r="D69" s="182" t="n">
        <f aca="false">IF(ISNUMBER(INDEX(Training!$C$120:$Q$120,3*(Unit_Cost!D$6-1)+2)),INDEX(Training!$C$120:$Q$120,3*(Unit_Cost!D$6-1)+2)*Unit_Cost!D$8/1000000,INDEX(Training!$C$120:$Q$120,3*(Unit_Cost!D$6-1)+2))</f>
        <v>224.590491657698</v>
      </c>
      <c r="E69" s="182" t="n">
        <f aca="false">IF(ISNUMBER(INDEX(Training!$C$120:$Q$120,3*(Unit_Cost!E$6-1)+2)),INDEX(Training!$C$120:$Q$120,3*(Unit_Cost!E$6-1)+2)*Unit_Cost!E$8/1000000,INDEX(Training!$C$120:$Q$120,3*(Unit_Cost!E$6-1)+2))</f>
        <v>385.704480131656</v>
      </c>
      <c r="F69" s="182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2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2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2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2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2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2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2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2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2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2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2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28" t="s">
        <v>608</v>
      </c>
      <c r="U69" s="41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2" t="s">
        <v>2431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1" t="s">
        <v>2440</v>
      </c>
      <c r="B70" s="28" t="s">
        <v>93</v>
      </c>
      <c r="C70" s="189" t="n">
        <f aca="false">INDEX(Training!$C$123:$Q$123,3*(Unit_Cost!C$6-1)+2)</f>
        <v>0.0231462920032773</v>
      </c>
      <c r="D70" s="189" t="n">
        <f aca="false">INDEX(Training!$C$123:$Q$123,3*(Unit_Cost!D$6-1)+2)</f>
        <v>0.0231462920032773</v>
      </c>
      <c r="E70" s="189" t="n">
        <f aca="false">INDEX(Training!$C$123:$Q$123,3*(Unit_Cost!E$6-1)+2)</f>
        <v>0.0231462920032773</v>
      </c>
      <c r="F70" s="189" t="n">
        <f aca="false">INDEX(Training!$C$123:$Q$123,3*(Unit_Cost!F$6-1)+2)</f>
        <v>0.0111975472382432</v>
      </c>
      <c r="G70" s="189" t="n">
        <f aca="false">INDEX(Training!$C$123:$Q$123,3*(Unit_Cost!G$6-1)+2)</f>
        <v>0.0111975472382432</v>
      </c>
      <c r="H70" s="189" t="n">
        <f aca="false">INDEX(Training!$C$123:$Q$123,3*(Unit_Cost!H$6-1)+2)</f>
        <v>0.0111975472382432</v>
      </c>
      <c r="I70" s="189" t="n">
        <f aca="false">INDEX(Training!$C$123:$Q$123,3*(Unit_Cost!I$6-1)+2)</f>
        <v>0.0102273044724078</v>
      </c>
      <c r="J70" s="189" t="n">
        <f aca="false">INDEX(Training!$C$123:$Q$123,3*(Unit_Cost!J$6-1)+2)</f>
        <v>0.0102273044724078</v>
      </c>
      <c r="K70" s="189" t="n">
        <f aca="false">INDEX(Training!$C$123:$Q$123,3*(Unit_Cost!K$6-1)+2)</f>
        <v>0.0102273044724078</v>
      </c>
      <c r="L70" s="189" t="n">
        <f aca="false">INDEX(Training!$C$123:$Q$123,3*(Unit_Cost!L$6-1)+2)</f>
        <v>0.00642112099901794</v>
      </c>
      <c r="M70" s="189" t="n">
        <f aca="false">INDEX(Training!$C$123:$Q$123,3*(Unit_Cost!M$6-1)+2)</f>
        <v>0.00642112099901794</v>
      </c>
      <c r="N70" s="189" t="n">
        <f aca="false">INDEX(Training!$C$123:$Q$123,3*(Unit_Cost!N$6-1)+2)</f>
        <v>0.00642112099901794</v>
      </c>
      <c r="O70" s="189" t="n">
        <f aca="false">INDEX(Training!$C$123:$Q$123,3*(Unit_Cost!O$6-1)+2)</f>
        <v>0.00430948556016603</v>
      </c>
      <c r="P70" s="189" t="n">
        <f aca="false">INDEX(Training!$C$123:$Q$123,3*(Unit_Cost!P$6-1)+2)</f>
        <v>0.00430948556016603</v>
      </c>
      <c r="Q70" s="189" t="n">
        <f aca="false">INDEX(Training!$C$123:$Q$123,3*(Unit_Cost!Q$6-1)+2)</f>
        <v>0.00430948556016603</v>
      </c>
      <c r="R70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28" t="s">
        <v>608</v>
      </c>
      <c r="U70" s="41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2" t="s">
        <v>2433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251</v>
      </c>
    </row>
    <row r="72" customFormat="false" ht="15" hidden="false" customHeight="true" outlineLevel="0" collapsed="false">
      <c r="A72" s="41" t="s">
        <v>2441</v>
      </c>
      <c r="B72" s="28" t="s">
        <v>1010</v>
      </c>
      <c r="C72" s="46" t="n">
        <f aca="false">INDEX(Training!$C$106:$Q$106,3*(Unit_Cost!C$6-1)+3)</f>
        <v>112183463.020854</v>
      </c>
      <c r="D72" s="46" t="n">
        <f aca="false">INDEX(Training!$C$106:$Q$106,3*(Unit_Cost!D$6-1)+3)</f>
        <v>112183463.020854</v>
      </c>
      <c r="E72" s="46" t="n">
        <f aca="false">INDEX(Training!$C$106:$Q$106,3*(Unit_Cost!E$6-1)+3)</f>
        <v>112183463.020854</v>
      </c>
      <c r="F72" s="46" t="n">
        <f aca="false">INDEX(Training!$C$106:$Q$106,3*(Unit_Cost!F$6-1)+3)</f>
        <v>38678967.4074746</v>
      </c>
      <c r="G72" s="46" t="n">
        <f aca="false">INDEX(Training!$C$106:$Q$106,3*(Unit_Cost!G$6-1)+3)</f>
        <v>38678967.4074746</v>
      </c>
      <c r="H72" s="46" t="n">
        <f aca="false">INDEX(Training!$C$106:$Q$106,3*(Unit_Cost!H$6-1)+3)</f>
        <v>38678967.4074746</v>
      </c>
      <c r="I72" s="46" t="n">
        <f aca="false">INDEX(Training!$C$106:$Q$106,3*(Unit_Cost!I$6-1)+3)</f>
        <v>34975510.1307514</v>
      </c>
      <c r="J72" s="46" t="n">
        <f aca="false">INDEX(Training!$C$106:$Q$106,3*(Unit_Cost!J$6-1)+3)</f>
        <v>34975510.1307514</v>
      </c>
      <c r="K72" s="46" t="n">
        <f aca="false">INDEX(Training!$C$106:$Q$106,3*(Unit_Cost!K$6-1)+3)</f>
        <v>34975510.1307514</v>
      </c>
      <c r="L72" s="46" t="n">
        <f aca="false">INDEX(Training!$C$106:$Q$106,3*(Unit_Cost!L$6-1)+3)</f>
        <v>12784087.465584</v>
      </c>
      <c r="M72" s="46" t="n">
        <f aca="false">INDEX(Training!$C$106:$Q$106,3*(Unit_Cost!M$6-1)+3)</f>
        <v>12784087.465584</v>
      </c>
      <c r="N72" s="46" t="n">
        <f aca="false">INDEX(Training!$C$106:$Q$106,3*(Unit_Cost!N$6-1)+3)</f>
        <v>12784087.465584</v>
      </c>
      <c r="O72" s="46" t="n">
        <f aca="false">INDEX(Training!$C$106:$Q$106,3*(Unit_Cost!O$6-1)+3)</f>
        <v>5811483.35408388</v>
      </c>
      <c r="P72" s="46" t="n">
        <f aca="false">INDEX(Training!$C$106:$Q$106,3*(Unit_Cost!P$6-1)+3)</f>
        <v>5811483.35408388</v>
      </c>
      <c r="Q72" s="46" t="n">
        <f aca="false">INDEX(Training!$C$106:$Q$106,3*(Unit_Cost!Q$6-1)+3)</f>
        <v>5811483.35408388</v>
      </c>
      <c r="R72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28" t="s">
        <v>608</v>
      </c>
      <c r="U72" s="41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2" t="s">
        <v>2420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1" t="s">
        <v>2442</v>
      </c>
      <c r="B73" s="28" t="s">
        <v>865</v>
      </c>
      <c r="C73" s="186" t="n">
        <f aca="false">IF(ISNUMBER(INDEX(Training!$C$106:$Q$106,3*(Unit_Cost!C$6-1)+3)),INDEX(Training!$C$106:$Q$106,3*(Unit_Cost!C$6-1)+3)*Unit_Cost!C$8/1000000,INDEX(Training!$C$106:$Q$106,3*(Unit_Cost!C$6-1)+3))</f>
        <v>121.118299247956</v>
      </c>
      <c r="D73" s="186" t="n">
        <f aca="false">IF(ISNUMBER(INDEX(Training!$C$106:$Q$106,3*(Unit_Cost!D$6-1)+3)),INDEX(Training!$C$106:$Q$106,3*(Unit_Cost!D$6-1)+3)*Unit_Cost!D$8/1000000,INDEX(Training!$C$106:$Q$106,3*(Unit_Cost!D$6-1)+3))</f>
        <v>173.053822782489</v>
      </c>
      <c r="E73" s="186" t="n">
        <f aca="false">IF(ISNUMBER(INDEX(Training!$C$106:$Q$106,3*(Unit_Cost!E$6-1)+3)),INDEX(Training!$C$106:$Q$106,3*(Unit_Cost!E$6-1)+3)*Unit_Cost!E$8/1000000,INDEX(Training!$C$106:$Q$106,3*(Unit_Cost!E$6-1)+3))</f>
        <v>297.197064125256</v>
      </c>
      <c r="F73" s="186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86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86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86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86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86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86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86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86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86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86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86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28" t="s">
        <v>608</v>
      </c>
      <c r="U73" s="41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2" t="s">
        <v>2422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1" t="s">
        <v>2443</v>
      </c>
      <c r="B74" s="28" t="s">
        <v>93</v>
      </c>
      <c r="C74" s="187" t="n">
        <f aca="false">INDEX(Training!$C$110:$Q$110,3*(Unit_Cost!C$6-1)+3)</f>
        <v>0.268885180199482</v>
      </c>
      <c r="D74" s="187" t="n">
        <f aca="false">INDEX(Training!$C$110:$Q$110,3*(Unit_Cost!D$6-1)+3)</f>
        <v>0.268885180199482</v>
      </c>
      <c r="E74" s="187" t="n">
        <f aca="false">INDEX(Training!$C$110:$Q$110,3*(Unit_Cost!E$6-1)+3)</f>
        <v>0.268885180199482</v>
      </c>
      <c r="F74" s="187" t="n">
        <f aca="false">INDEX(Training!$C$110:$Q$110,3*(Unit_Cost!F$6-1)+3)</f>
        <v>0.268885180199482</v>
      </c>
      <c r="G74" s="187" t="n">
        <f aca="false">INDEX(Training!$C$110:$Q$110,3*(Unit_Cost!G$6-1)+3)</f>
        <v>0.268885180199482</v>
      </c>
      <c r="H74" s="187" t="n">
        <f aca="false">INDEX(Training!$C$110:$Q$110,3*(Unit_Cost!H$6-1)+3)</f>
        <v>0.268885180199482</v>
      </c>
      <c r="I74" s="187" t="n">
        <f aca="false">INDEX(Training!$C$110:$Q$110,3*(Unit_Cost!I$6-1)+3)</f>
        <v>0.268885180199482</v>
      </c>
      <c r="J74" s="187" t="n">
        <f aca="false">INDEX(Training!$C$110:$Q$110,3*(Unit_Cost!J$6-1)+3)</f>
        <v>0.268885180199482</v>
      </c>
      <c r="K74" s="187" t="n">
        <f aca="false">INDEX(Training!$C$110:$Q$110,3*(Unit_Cost!K$6-1)+3)</f>
        <v>0.268885180199482</v>
      </c>
      <c r="L74" s="187" t="n">
        <f aca="false">INDEX(Training!$C$110:$Q$110,3*(Unit_Cost!L$6-1)+3)</f>
        <v>0.268885180199482</v>
      </c>
      <c r="M74" s="187" t="n">
        <f aca="false">INDEX(Training!$C$110:$Q$110,3*(Unit_Cost!M$6-1)+3)</f>
        <v>0.268885180199482</v>
      </c>
      <c r="N74" s="187" t="n">
        <f aca="false">INDEX(Training!$C$110:$Q$110,3*(Unit_Cost!N$6-1)+3)</f>
        <v>0.268885180199482</v>
      </c>
      <c r="O74" s="187" t="n">
        <f aca="false">INDEX(Training!$C$110:$Q$110,3*(Unit_Cost!O$6-1)+3)</f>
        <v>0.268885180199482</v>
      </c>
      <c r="P74" s="187" t="n">
        <f aca="false">INDEX(Training!$C$110:$Q$110,3*(Unit_Cost!P$6-1)+3)</f>
        <v>0.268885180199482</v>
      </c>
      <c r="Q74" s="187" t="n">
        <f aca="false">INDEX(Training!$C$110:$Q$110,3*(Unit_Cost!Q$6-1)+3)</f>
        <v>0.268885180199482</v>
      </c>
      <c r="R74" s="17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28" t="s">
        <v>608</v>
      </c>
      <c r="U74" s="41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2" t="s">
        <v>2424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1" t="s">
        <v>2444</v>
      </c>
      <c r="B75" s="28" t="s">
        <v>93</v>
      </c>
      <c r="C75" s="188" t="n">
        <f aca="false">INDEX(Training!$C$111:$Q$111,3*(Unit_Cost!C$6-1)+3)</f>
        <v>0.55968476412224</v>
      </c>
      <c r="D75" s="188" t="n">
        <f aca="false">INDEX(Training!$C$111:$Q$111,3*(Unit_Cost!D$6-1)+3)</f>
        <v>0.55968476412224</v>
      </c>
      <c r="E75" s="188" t="n">
        <f aca="false">INDEX(Training!$C$111:$Q$111,3*(Unit_Cost!E$6-1)+3)</f>
        <v>0.55968476412224</v>
      </c>
      <c r="F75" s="188" t="n">
        <f aca="false">INDEX(Training!$C$111:$Q$111,3*(Unit_Cost!F$6-1)+3)</f>
        <v>0.504541712883535</v>
      </c>
      <c r="G75" s="188" t="n">
        <f aca="false">INDEX(Training!$C$111:$Q$111,3*(Unit_Cost!G$6-1)+3)</f>
        <v>0.504541712883535</v>
      </c>
      <c r="H75" s="188" t="n">
        <f aca="false">INDEX(Training!$C$111:$Q$111,3*(Unit_Cost!H$6-1)+3)</f>
        <v>0.504541712883535</v>
      </c>
      <c r="I75" s="188" t="n">
        <f aca="false">INDEX(Training!$C$111:$Q$111,3*(Unit_Cost!I$6-1)+3)</f>
        <v>0.460983664042966</v>
      </c>
      <c r="J75" s="188" t="n">
        <f aca="false">INDEX(Training!$C$111:$Q$111,3*(Unit_Cost!J$6-1)+3)</f>
        <v>0.460983664042966</v>
      </c>
      <c r="K75" s="188" t="n">
        <f aca="false">INDEX(Training!$C$111:$Q$111,3*(Unit_Cost!K$6-1)+3)</f>
        <v>0.460983664042966</v>
      </c>
      <c r="L75" s="188" t="n">
        <f aca="false">INDEX(Training!$C$111:$Q$111,3*(Unit_Cost!L$6-1)+3)</f>
        <v>0.521148040333377</v>
      </c>
      <c r="M75" s="188" t="n">
        <f aca="false">INDEX(Training!$C$111:$Q$111,3*(Unit_Cost!M$6-1)+3)</f>
        <v>0.521148040333377</v>
      </c>
      <c r="N75" s="188" t="n">
        <f aca="false">INDEX(Training!$C$111:$Q$111,3*(Unit_Cost!N$6-1)+3)</f>
        <v>0.521148040333377</v>
      </c>
      <c r="O75" s="188" t="n">
        <f aca="false">INDEX(Training!$C$111:$Q$111,3*(Unit_Cost!O$6-1)+3)</f>
        <v>0.481150986813593</v>
      </c>
      <c r="P75" s="188" t="n">
        <f aca="false">INDEX(Training!$C$111:$Q$111,3*(Unit_Cost!P$6-1)+3)</f>
        <v>0.481150986813593</v>
      </c>
      <c r="Q75" s="188" t="n">
        <f aca="false">INDEX(Training!$C$111:$Q$111,3*(Unit_Cost!Q$6-1)+3)</f>
        <v>0.481150986813593</v>
      </c>
      <c r="R75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28" t="s">
        <v>608</v>
      </c>
      <c r="U75" s="41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2" t="s">
        <v>2426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2445</v>
      </c>
      <c r="B76" s="28" t="s">
        <v>93</v>
      </c>
      <c r="C76" s="187" t="n">
        <f aca="false">INDEX(Training!$C$77:$Q$77,3*(Unit_Cost!C$6-1)+3)</f>
        <v>0.0647492613469604</v>
      </c>
      <c r="D76" s="187" t="n">
        <f aca="false">INDEX(Training!$C$77:$Q$77,3*(Unit_Cost!D$6-1)+3)</f>
        <v>0.0647492613469604</v>
      </c>
      <c r="E76" s="187" t="n">
        <f aca="false">INDEX(Training!$C$77:$Q$77,3*(Unit_Cost!E$6-1)+3)</f>
        <v>0.0647492613469604</v>
      </c>
      <c r="F76" s="187" t="n">
        <f aca="false">INDEX(Training!$C$77:$Q$77,3*(Unit_Cost!F$6-1)+3)</f>
        <v>0.0807474836755068</v>
      </c>
      <c r="G76" s="187" t="n">
        <f aca="false">INDEX(Training!$C$77:$Q$77,3*(Unit_Cost!G$6-1)+3)</f>
        <v>0.0807474836755068</v>
      </c>
      <c r="H76" s="187" t="n">
        <f aca="false">INDEX(Training!$C$77:$Q$77,3*(Unit_Cost!H$6-1)+3)</f>
        <v>0.0807474836755068</v>
      </c>
      <c r="I76" s="187" t="n">
        <f aca="false">INDEX(Training!$C$77:$Q$77,3*(Unit_Cost!I$6-1)+3)</f>
        <v>0.0961724702603611</v>
      </c>
      <c r="J76" s="187" t="n">
        <f aca="false">INDEX(Training!$C$77:$Q$77,3*(Unit_Cost!J$6-1)+3)</f>
        <v>0.0961724702603611</v>
      </c>
      <c r="K76" s="187" t="n">
        <f aca="false">INDEX(Training!$C$77:$Q$77,3*(Unit_Cost!K$6-1)+3)</f>
        <v>0.0961724702603611</v>
      </c>
      <c r="L76" s="187" t="n">
        <f aca="false">INDEX(Training!$C$77:$Q$77,3*(Unit_Cost!L$6-1)+3)</f>
        <v>0.0679835504547044</v>
      </c>
      <c r="M76" s="187" t="n">
        <f aca="false">INDEX(Training!$C$77:$Q$77,3*(Unit_Cost!M$6-1)+3)</f>
        <v>0.0679835504547044</v>
      </c>
      <c r="N76" s="187" t="n">
        <f aca="false">INDEX(Training!$C$77:$Q$77,3*(Unit_Cost!N$6-1)+3)</f>
        <v>0.0679835504547044</v>
      </c>
      <c r="O76" s="187" t="n">
        <f aca="false">INDEX(Training!$C$77:$Q$77,3*(Unit_Cost!O$6-1)+3)</f>
        <v>0.0798187502820238</v>
      </c>
      <c r="P76" s="187" t="n">
        <f aca="false">INDEX(Training!$C$77:$Q$77,3*(Unit_Cost!P$6-1)+3)</f>
        <v>0.0798187502820238</v>
      </c>
      <c r="Q76" s="187" t="n">
        <f aca="false">INDEX(Training!$C$77:$Q$77,3*(Unit_Cost!Q$6-1)+3)</f>
        <v>0.0798187502820238</v>
      </c>
      <c r="R76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28" t="s">
        <v>608</v>
      </c>
      <c r="U76" s="41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2" t="s">
        <v>2428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1" t="s">
        <v>2446</v>
      </c>
      <c r="B77" s="28" t="s">
        <v>1010</v>
      </c>
      <c r="C77" s="182" t="n">
        <f aca="false">INDEX(Training!$C$120:$Q$120,3*(Unit_Cost!C$6-1)+3)</f>
        <v>897467704.166834</v>
      </c>
      <c r="D77" s="182" t="n">
        <f aca="false">INDEX(Training!$C$120:$Q$120,3*(Unit_Cost!D$6-1)+3)</f>
        <v>897467704.166834</v>
      </c>
      <c r="E77" s="182" t="n">
        <f aca="false">INDEX(Training!$C$120:$Q$120,3*(Unit_Cost!E$6-1)+3)</f>
        <v>897467704.166834</v>
      </c>
      <c r="F77" s="182" t="n">
        <f aca="false">INDEX(Training!$C$120:$Q$120,3*(Unit_Cost!F$6-1)+3)</f>
        <v>309431739.259797</v>
      </c>
      <c r="G77" s="182" t="n">
        <f aca="false">INDEX(Training!$C$120:$Q$120,3*(Unit_Cost!G$6-1)+3)</f>
        <v>309431739.259797</v>
      </c>
      <c r="H77" s="182" t="n">
        <f aca="false">INDEX(Training!$C$120:$Q$120,3*(Unit_Cost!H$6-1)+3)</f>
        <v>309431739.259797</v>
      </c>
      <c r="I77" s="182" t="n">
        <f aca="false">INDEX(Training!$C$120:$Q$120,3*(Unit_Cost!I$6-1)+3)</f>
        <v>279804081.046011</v>
      </c>
      <c r="J77" s="182" t="n">
        <f aca="false">INDEX(Training!$C$120:$Q$120,3*(Unit_Cost!J$6-1)+3)</f>
        <v>279804081.046011</v>
      </c>
      <c r="K77" s="182" t="n">
        <f aca="false">INDEX(Training!$C$120:$Q$120,3*(Unit_Cost!K$6-1)+3)</f>
        <v>279804081.046011</v>
      </c>
      <c r="L77" s="182" t="n">
        <f aca="false">INDEX(Training!$C$120:$Q$120,3*(Unit_Cost!L$6-1)+3)</f>
        <v>102272699.724672</v>
      </c>
      <c r="M77" s="182" t="n">
        <f aca="false">INDEX(Training!$C$120:$Q$120,3*(Unit_Cost!M$6-1)+3)</f>
        <v>102272699.724672</v>
      </c>
      <c r="N77" s="182" t="n">
        <f aca="false">INDEX(Training!$C$120:$Q$120,3*(Unit_Cost!N$6-1)+3)</f>
        <v>102272699.724672</v>
      </c>
      <c r="O77" s="182" t="n">
        <f aca="false">INDEX(Training!$C$120:$Q$120,3*(Unit_Cost!O$6-1)+3)</f>
        <v>46491866.832671</v>
      </c>
      <c r="P77" s="182" t="n">
        <f aca="false">INDEX(Training!$C$120:$Q$120,3*(Unit_Cost!P$6-1)+3)</f>
        <v>46491866.832671</v>
      </c>
      <c r="Q77" s="182" t="n">
        <f aca="false">INDEX(Training!$C$120:$Q$120,3*(Unit_Cost!Q$6-1)+3)</f>
        <v>46491866.832671</v>
      </c>
      <c r="R77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28" t="s">
        <v>608</v>
      </c>
      <c r="U77" s="41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2" t="s">
        <v>2430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1" t="s">
        <v>2341</v>
      </c>
      <c r="B78" s="28" t="s">
        <v>865</v>
      </c>
      <c r="C78" s="182" t="n">
        <f aca="false">IF(ISNUMBER(INDEX(Training!$C$120:$Q$120,3*(Unit_Cost!C$6-1)+3)),INDEX(Training!$C$120:$Q$120,3*(Unit_Cost!C$6-1)+3)*Unit_Cost!C$8/1000000,INDEX(Training!$C$120:$Q$120,3*(Unit_Cost!C$6-1)+3))</f>
        <v>968.946393983648</v>
      </c>
      <c r="D78" s="182" t="n">
        <f aca="false">IF(ISNUMBER(INDEX(Training!$C$120:$Q$120,3*(Unit_Cost!D$6-1)+3)),INDEX(Training!$C$120:$Q$120,3*(Unit_Cost!D$6-1)+3)*Unit_Cost!D$8/1000000,INDEX(Training!$C$120:$Q$120,3*(Unit_Cost!D$6-1)+3))</f>
        <v>1384.43058225991</v>
      </c>
      <c r="E78" s="182" t="n">
        <f aca="false">IF(ISNUMBER(INDEX(Training!$C$120:$Q$120,3*(Unit_Cost!E$6-1)+3)),INDEX(Training!$C$120:$Q$120,3*(Unit_Cost!E$6-1)+3)*Unit_Cost!E$8/1000000,INDEX(Training!$C$120:$Q$120,3*(Unit_Cost!E$6-1)+3))</f>
        <v>2377.57651300204</v>
      </c>
      <c r="F78" s="182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2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2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2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2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2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2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2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2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2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2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2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28" t="s">
        <v>608</v>
      </c>
      <c r="U78" s="41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2" t="s">
        <v>2431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1" t="s">
        <v>2447</v>
      </c>
      <c r="B79" s="28" t="s">
        <v>93</v>
      </c>
      <c r="C79" s="189" t="n">
        <f aca="false">INDEX(Training!$C$123:$Q$123,3*(Unit_Cost!C$6-1)+3)</f>
        <v>0.142679390737942</v>
      </c>
      <c r="D79" s="189" t="n">
        <f aca="false">INDEX(Training!$C$123:$Q$123,3*(Unit_Cost!D$6-1)+3)</f>
        <v>0.142679390737942</v>
      </c>
      <c r="E79" s="189" t="n">
        <f aca="false">INDEX(Training!$C$123:$Q$123,3*(Unit_Cost!E$6-1)+3)</f>
        <v>0.142679390737942</v>
      </c>
      <c r="F79" s="189" t="n">
        <f aca="false">INDEX(Training!$C$123:$Q$123,3*(Unit_Cost!F$6-1)+3)</f>
        <v>0.0703975899347298</v>
      </c>
      <c r="G79" s="189" t="n">
        <f aca="false">INDEX(Training!$C$123:$Q$123,3*(Unit_Cost!G$6-1)+3)</f>
        <v>0.0703975899347298</v>
      </c>
      <c r="H79" s="189" t="n">
        <f aca="false">INDEX(Training!$C$123:$Q$123,3*(Unit_Cost!H$6-1)+3)</f>
        <v>0.0703975899347298</v>
      </c>
      <c r="I79" s="189" t="n">
        <f aca="false">INDEX(Training!$C$123:$Q$123,3*(Unit_Cost!I$6-1)+3)</f>
        <v>0.0655864074968763</v>
      </c>
      <c r="J79" s="189" t="n">
        <f aca="false">INDEX(Training!$C$123:$Q$123,3*(Unit_Cost!J$6-1)+3)</f>
        <v>0.0655864074968763</v>
      </c>
      <c r="K79" s="189" t="n">
        <f aca="false">INDEX(Training!$C$123:$Q$123,3*(Unit_Cost!K$6-1)+3)</f>
        <v>0.0655864074968763</v>
      </c>
      <c r="L79" s="189" t="n">
        <f aca="false">INDEX(Training!$C$123:$Q$123,3*(Unit_Cost!L$6-1)+3)</f>
        <v>0.0400178434586299</v>
      </c>
      <c r="M79" s="189" t="n">
        <f aca="false">INDEX(Training!$C$123:$Q$123,3*(Unit_Cost!M$6-1)+3)</f>
        <v>0.0400178434586299</v>
      </c>
      <c r="N79" s="189" t="n">
        <f aca="false">INDEX(Training!$C$123:$Q$123,3*(Unit_Cost!N$6-1)+3)</f>
        <v>0.0400178434586299</v>
      </c>
      <c r="O79" s="189" t="n">
        <f aca="false">INDEX(Training!$C$123:$Q$123,3*(Unit_Cost!O$6-1)+3)</f>
        <v>0.0272504145323638</v>
      </c>
      <c r="P79" s="189" t="n">
        <f aca="false">INDEX(Training!$C$123:$Q$123,3*(Unit_Cost!P$6-1)+3)</f>
        <v>0.0272504145323638</v>
      </c>
      <c r="Q79" s="189" t="n">
        <f aca="false">INDEX(Training!$C$123:$Q$123,3*(Unit_Cost!Q$6-1)+3)</f>
        <v>0.0272504145323638</v>
      </c>
      <c r="R79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28" t="s">
        <v>608</v>
      </c>
      <c r="U79" s="41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2" t="s">
        <v>2433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1" t="s">
        <v>2448</v>
      </c>
      <c r="B80" s="28" t="s">
        <v>97</v>
      </c>
      <c r="C80" s="190" t="n">
        <f aca="false">Train_In!$C$13</f>
        <v>8</v>
      </c>
      <c r="R80" s="175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28" t="s">
        <v>608</v>
      </c>
      <c r="U80" s="41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2" t="s">
        <v>2449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1" t="s">
        <v>2450</v>
      </c>
      <c r="B81" s="41" t="s">
        <v>933</v>
      </c>
      <c r="C81" s="31" t="n">
        <f aca="false">Train_In!$C$16</f>
        <v>4</v>
      </c>
      <c r="D81" s="191" t="str">
        <f aca="false">INDEX(Spec_Rack!$C$4:$G$4,C81)</f>
        <v>VR200 NVL72</v>
      </c>
      <c r="R81" s="175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28" t="s">
        <v>608</v>
      </c>
      <c r="U81" s="41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2" t="s">
        <v>2451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1" t="s">
        <v>2452</v>
      </c>
      <c r="B82" s="41" t="s">
        <v>933</v>
      </c>
      <c r="C82" s="31" t="n">
        <f aca="false">Train_In!$C$17</f>
        <v>3</v>
      </c>
      <c r="D82" s="191" t="str">
        <f aca="false">INDEX(Spec_Rack!$C$4:$G$4,C82)</f>
        <v>GB300 NVL72</v>
      </c>
      <c r="R82" s="175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28" t="s">
        <v>608</v>
      </c>
      <c r="U82" s="41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2" t="s">
        <v>2451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0" t="s">
        <v>2453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249</v>
      </c>
    </row>
    <row r="86" customFormat="false" ht="15" hidden="false" customHeight="true" outlineLevel="0" collapsed="false">
      <c r="A86" s="41" t="s">
        <v>2454</v>
      </c>
      <c r="B86" s="28" t="s">
        <v>795</v>
      </c>
      <c r="C86" s="43" t="n">
        <f aca="false">Price_Frontier!C41</f>
        <v>0.08</v>
      </c>
      <c r="R86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28" t="s">
        <v>608</v>
      </c>
      <c r="U86" s="41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2" t="s">
        <v>2455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1" t="s">
        <v>2456</v>
      </c>
      <c r="B87" s="28" t="s">
        <v>795</v>
      </c>
      <c r="C87" s="43" t="n">
        <f aca="false">Price_Frontier!C42</f>
        <v>0.008</v>
      </c>
      <c r="R87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28" t="s">
        <v>608</v>
      </c>
      <c r="U87" s="41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2" t="s">
        <v>2455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1" t="s">
        <v>2457</v>
      </c>
      <c r="B88" s="28" t="s">
        <v>795</v>
      </c>
      <c r="C88" s="43" t="n">
        <f aca="false">Price_Frontier!C43</f>
        <v>0.4</v>
      </c>
      <c r="R88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28" t="s">
        <v>608</v>
      </c>
      <c r="U88" s="41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2" t="s">
        <v>2455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1" t="s">
        <v>2458</v>
      </c>
      <c r="B89" s="28" t="s">
        <v>795</v>
      </c>
      <c r="C89" s="43" t="n">
        <f aca="false">Price_Frontier!C44</f>
        <v>0.4</v>
      </c>
      <c r="R89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28" t="s">
        <v>608</v>
      </c>
      <c r="U89" s="41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2" t="s">
        <v>2455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1" t="s">
        <v>2459</v>
      </c>
      <c r="B90" s="28" t="s">
        <v>795</v>
      </c>
      <c r="C90" s="53" t="n">
        <f aca="false">Price_Frontier!C45</f>
        <v>0.0803555555555556</v>
      </c>
      <c r="R90" s="17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28" t="s">
        <v>608</v>
      </c>
      <c r="U90" s="41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2" t="s">
        <v>2460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1" t="s">
        <v>2461</v>
      </c>
      <c r="B91" s="28" t="s">
        <v>795</v>
      </c>
      <c r="C91" s="43" t="n">
        <f aca="false">Price_Frontier!C46</f>
        <v>0.0803555555555556</v>
      </c>
      <c r="R91" s="17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28" t="s">
        <v>608</v>
      </c>
      <c r="U91" s="41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2" t="s">
        <v>2462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1" t="s">
        <v>2463</v>
      </c>
      <c r="C92" s="175" t="str">
        <f aca="false">Price_Frontier!C26</f>
        <v>GPT-6 Luna</v>
      </c>
      <c r="R92" s="17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28" t="s">
        <v>608</v>
      </c>
      <c r="U92" s="41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2" t="s">
        <v>2464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1" t="s">
        <v>2465</v>
      </c>
      <c r="B93" s="41" t="s">
        <v>1156</v>
      </c>
      <c r="C93" s="30" t="n">
        <f aca="false">INDEX(B4_Life,1,1)</f>
        <v>12</v>
      </c>
      <c r="R93" s="175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28" t="s">
        <v>608</v>
      </c>
      <c r="U93" s="41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2" t="s">
        <v>2451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1" t="s">
        <v>2466</v>
      </c>
      <c r="B94" s="28" t="s">
        <v>795</v>
      </c>
      <c r="C94" s="192" t="n">
        <f aca="false">Cache_Store!C17</f>
        <v>1.32943302891933E-005</v>
      </c>
      <c r="D94" s="192" t="n">
        <f aca="false">Cache_Store!D17</f>
        <v>1.32943302891933E-005</v>
      </c>
      <c r="E94" s="192" t="n">
        <f aca="false">Cache_Store!E17</f>
        <v>1.32943302891933E-005</v>
      </c>
      <c r="F94" s="192" t="n">
        <f aca="false">Cache_Store!F17</f>
        <v>1.32943302891933E-005</v>
      </c>
      <c r="G94" s="192" t="n">
        <f aca="false">Cache_Store!G17</f>
        <v>1.32943302891933E-005</v>
      </c>
      <c r="H94" s="192" t="n">
        <f aca="false">Cache_Store!H17</f>
        <v>1.32943302891933E-005</v>
      </c>
      <c r="I94" s="192" t="n">
        <f aca="false">Cache_Store!I17</f>
        <v>1.32943302891933E-005</v>
      </c>
      <c r="J94" s="192" t="n">
        <f aca="false">Cache_Store!J17</f>
        <v>1.32943302891933E-005</v>
      </c>
      <c r="K94" s="192" t="n">
        <f aca="false">Cache_Store!K17</f>
        <v>1.32943302891933E-005</v>
      </c>
      <c r="L94" s="192" t="n">
        <f aca="false">Cache_Store!L17</f>
        <v>1.32943302891933E-005</v>
      </c>
      <c r="M94" s="192" t="n">
        <f aca="false">Cache_Store!M17</f>
        <v>1.32943302891933E-005</v>
      </c>
      <c r="N94" s="192" t="n">
        <f aca="false">Cache_Store!N17</f>
        <v>1.32943302891933E-005</v>
      </c>
      <c r="O94" s="192" t="n">
        <f aca="false">Cache_Store!O17</f>
        <v>1.32943302891933E-005</v>
      </c>
      <c r="P94" s="192" t="n">
        <f aca="false">Cache_Store!P17</f>
        <v>1.32943302891933E-005</v>
      </c>
      <c r="Q94" s="192" t="n">
        <f aca="false">Cache_Store!Q17</f>
        <v>1.32943302891933E-005</v>
      </c>
      <c r="R94" s="175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28" t="s">
        <v>608</v>
      </c>
      <c r="U94" s="41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2" t="s">
        <v>2467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1" t="s">
        <v>2468</v>
      </c>
      <c r="B95" s="28" t="s">
        <v>795</v>
      </c>
      <c r="C95" s="192" t="n">
        <f aca="false">Amortize!C13</f>
        <v>0.0675943514185168</v>
      </c>
      <c r="D95" s="192" t="n">
        <f aca="false">Amortize!D13</f>
        <v>0.0965788075303962</v>
      </c>
      <c r="E95" s="192" t="n">
        <f aca="false">Amortize!E13</f>
        <v>0.165861334891334</v>
      </c>
      <c r="F95" s="192" t="n">
        <f aca="false">Amortize!F13</f>
        <v>0.00608081231226111</v>
      </c>
      <c r="G95" s="192" t="n">
        <f aca="false">Amortize!G13</f>
        <v>0.00811916357405977</v>
      </c>
      <c r="H95" s="192" t="n">
        <f aca="false">Amortize!H13</f>
        <v>0.0131686306269498</v>
      </c>
      <c r="I95" s="192" t="n">
        <f aca="false">Amortize!I13</f>
        <v>0.00523654199470806</v>
      </c>
      <c r="J95" s="192" t="n">
        <f aca="false">Amortize!J13</f>
        <v>0.00676329702928261</v>
      </c>
      <c r="K95" s="192" t="n">
        <f aca="false">Amortize!K13</f>
        <v>0.0115148429406192</v>
      </c>
      <c r="L95" s="192" t="n">
        <f aca="false">Amortize!L13</f>
        <v>0.00210940192005383</v>
      </c>
      <c r="M95" s="192" t="n">
        <f aca="false">Amortize!M13</f>
        <v>0.00271112526016618</v>
      </c>
      <c r="N95" s="192" t="n">
        <f aca="false">Amortize!N13</f>
        <v>0.00437990681219042</v>
      </c>
      <c r="O95" s="192" t="n">
        <f aca="false">Amortize!O13</f>
        <v>0.00102767416465181</v>
      </c>
      <c r="P95" s="192" t="n">
        <f aca="false">Amortize!P13</f>
        <v>0.00156192381970931</v>
      </c>
      <c r="Q95" s="192" t="n">
        <f aca="false">Amortize!Q13</f>
        <v>0.00285135671460905</v>
      </c>
      <c r="R95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28" t="s">
        <v>608</v>
      </c>
      <c r="U95" s="41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2" t="s">
        <v>2469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1" t="s">
        <v>2470</v>
      </c>
      <c r="B96" s="28" t="s">
        <v>795</v>
      </c>
      <c r="C96" s="184" t="n">
        <f aca="false">Amortize!C15</f>
        <v>0.174582269222117</v>
      </c>
      <c r="D96" s="184" t="n">
        <f aca="false">Amortize!D15</f>
        <v>0.249436457494237</v>
      </c>
      <c r="E96" s="184" t="n">
        <f aca="false">Amortize!E15</f>
        <v>0.428362959583001</v>
      </c>
      <c r="F96" s="184" t="n">
        <f aca="false">Amortize!F15</f>
        <v>0.0375494516895087</v>
      </c>
      <c r="G96" s="184" t="n">
        <f aca="false">Amortize!G15</f>
        <v>0.0501311914724947</v>
      </c>
      <c r="H96" s="184" t="n">
        <f aca="false">Amortize!H15</f>
        <v>0.0812990680268838</v>
      </c>
      <c r="I96" s="184" t="n">
        <f aca="false">Amortize!I15</f>
        <v>0.0328877428291374</v>
      </c>
      <c r="J96" s="184" t="n">
        <f aca="false">Amortize!J15</f>
        <v>0.042471878268405</v>
      </c>
      <c r="K96" s="184" t="n">
        <f aca="false">Amortize!K15</f>
        <v>0.0722994920825873</v>
      </c>
      <c r="L96" s="184" t="n">
        <f aca="false">Amortize!L15</f>
        <v>0.0251536892040573</v>
      </c>
      <c r="M96" s="184" t="n">
        <f aca="false">Amortize!M15</f>
        <v>0.0323245284874553</v>
      </c>
      <c r="N96" s="184" t="n">
        <f aca="false">Amortize!N15</f>
        <v>0.0522116817868949</v>
      </c>
      <c r="O96" s="184" t="n">
        <f aca="false">Amortize!O15</f>
        <v>0.0197559108737738</v>
      </c>
      <c r="P96" s="184" t="n">
        <f aca="false">Amortize!P15</f>
        <v>0.030018171995636</v>
      </c>
      <c r="Q96" s="184" t="n">
        <f aca="false">Amortize!Q15</f>
        <v>0.0547865493662411</v>
      </c>
      <c r="R96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28" t="s">
        <v>608</v>
      </c>
      <c r="U96" s="41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2" t="s">
        <v>2471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1" t="s">
        <v>2472</v>
      </c>
      <c r="B97" s="28" t="s">
        <v>795</v>
      </c>
      <c r="C97" s="184" t="n">
        <f aca="false">Theory_Rev!C18</f>
        <v>0.188914233420327</v>
      </c>
      <c r="D97" s="184" t="n">
        <f aca="false">Theory_Rev!D18</f>
        <v>0.269916006806052</v>
      </c>
      <c r="E97" s="184" t="n">
        <f aca="false">Theory_Rev!E18</f>
        <v>0.463537289855792</v>
      </c>
      <c r="F97" s="184" t="n">
        <f aca="false">Theory_Rev!F18</f>
        <v>0.0321744990795468</v>
      </c>
      <c r="G97" s="184" t="n">
        <f aca="false">Theory_Rev!G18</f>
        <v>0.0429560932413866</v>
      </c>
      <c r="H97" s="184" t="n">
        <f aca="false">Theory_Rev!H18</f>
        <v>0.0696645931541063</v>
      </c>
      <c r="I97" s="184" t="n">
        <f aca="false">Theory_Rev!I18</f>
        <v>0.0280907361641086</v>
      </c>
      <c r="J97" s="184" t="n">
        <f aca="false">Theory_Rev!J18</f>
        <v>0.0362776531141064</v>
      </c>
      <c r="K97" s="184" t="n">
        <f aca="false">Theory_Rev!K18</f>
        <v>0.0617568628624171</v>
      </c>
      <c r="L97" s="184" t="n">
        <f aca="false">Theory_Rev!L18</f>
        <v>0.019589084248297</v>
      </c>
      <c r="M97" s="184" t="n">
        <f aca="false">Theory_Rev!M18</f>
        <v>0.0251739331921266</v>
      </c>
      <c r="N97" s="184" t="n">
        <f aca="false">Theory_Rev!N18</f>
        <v>0.0406626009352869</v>
      </c>
      <c r="O97" s="184" t="n">
        <f aca="false">Theory_Rev!O18</f>
        <v>0.0147563579921895</v>
      </c>
      <c r="P97" s="184" t="n">
        <f aca="false">Theory_Rev!P18</f>
        <v>0.0224220094437953</v>
      </c>
      <c r="Q97" s="184" t="n">
        <f aca="false">Theory_Rev!Q18</f>
        <v>0.0409233655962342</v>
      </c>
      <c r="R97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28" t="s">
        <v>2414</v>
      </c>
      <c r="U97" s="41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2" t="s">
        <v>2473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1" t="s">
        <v>2474</v>
      </c>
      <c r="B98" s="28" t="s">
        <v>795</v>
      </c>
      <c r="C98" s="193" t="n">
        <f aca="false">Amortize!C43</f>
        <v>0.147588221788147</v>
      </c>
      <c r="D98" s="193" t="n">
        <f aca="false">Amortize!D43</f>
        <v>0.210869406872378</v>
      </c>
      <c r="E98" s="193" t="n">
        <f aca="false">Amortize!E43</f>
        <v>0.362132567378394</v>
      </c>
      <c r="F98" s="193" t="n">
        <f aca="false">Amortize!F43</f>
        <v>0.0288129876646739</v>
      </c>
      <c r="G98" s="193" t="n">
        <f aca="false">Amortize!G43</f>
        <v>0.0384680122773135</v>
      </c>
      <c r="H98" s="193" t="n">
        <f aca="false">Amortize!H43</f>
        <v>0.0623857391137304</v>
      </c>
      <c r="I98" s="193" t="n">
        <f aca="false">Amortize!I43</f>
        <v>0.0269396532202824</v>
      </c>
      <c r="J98" s="193" t="n">
        <f aca="false">Amortize!J43</f>
        <v>0.0347911816967125</v>
      </c>
      <c r="K98" s="193" t="n">
        <f aca="false">Amortize!K43</f>
        <v>0.0592266000743046</v>
      </c>
      <c r="L98" s="193" t="n">
        <f aca="false">Amortize!L43</f>
        <v>0.0172553760286319</v>
      </c>
      <c r="M98" s="193" t="n">
        <f aca="false">Amortize!M43</f>
        <v>0.0221747913358084</v>
      </c>
      <c r="N98" s="193" t="n">
        <f aca="false">Amortize!N43</f>
        <v>0.0358179874096534</v>
      </c>
      <c r="O98" s="193" t="n">
        <f aca="false">Amortize!O43</f>
        <v>0.0123245031760871</v>
      </c>
      <c r="P98" s="193" t="n">
        <f aca="false">Amortize!P43</f>
        <v>0.0187267334289093</v>
      </c>
      <c r="Q98" s="193" t="n">
        <f aca="false">Amortize!Q43</f>
        <v>0.0341787720227811</v>
      </c>
      <c r="R98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28" t="s">
        <v>608</v>
      </c>
      <c r="U98" s="41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2" t="s">
        <v>2473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1" t="s">
        <v>2475</v>
      </c>
      <c r="B99" s="28" t="s">
        <v>795</v>
      </c>
      <c r="C99" s="192" t="n">
        <f aca="false">Amortize!C44</f>
        <v>0.00782926184897554</v>
      </c>
      <c r="D99" s="192" t="n">
        <f aca="false">Amortize!D44</f>
        <v>0.0111862029526438</v>
      </c>
      <c r="E99" s="192" t="n">
        <f aca="false">Amortize!E44</f>
        <v>0.0192104129970277</v>
      </c>
      <c r="F99" s="192" t="n">
        <f aca="false">Amortize!F44</f>
        <v>0.00165965019412098</v>
      </c>
      <c r="G99" s="192" t="n">
        <f aca="false">Amortize!G44</f>
        <v>0.00221578701891322</v>
      </c>
      <c r="H99" s="192" t="n">
        <f aca="false">Amortize!H44</f>
        <v>0.00359346643379944</v>
      </c>
      <c r="I99" s="192" t="n">
        <f aca="false">Amortize!I44</f>
        <v>0.00148333975179878</v>
      </c>
      <c r="J99" s="192" t="n">
        <f aca="false">Amortize!J44</f>
        <v>0.00191565728039637</v>
      </c>
      <c r="K99" s="192" t="n">
        <f aca="false">Amortize!K44</f>
        <v>0.00326110991614254</v>
      </c>
      <c r="L99" s="192" t="n">
        <f aca="false">Amortize!L44</f>
        <v>0.00106624342241572</v>
      </c>
      <c r="M99" s="192" t="n">
        <f aca="false">Amortize!M44</f>
        <v>0.00137022371265712</v>
      </c>
      <c r="N99" s="192" t="n">
        <f aca="false">Amortize!N44</f>
        <v>0.00221326347315422</v>
      </c>
      <c r="O99" s="192" t="n">
        <f aca="false">Amortize!O44</f>
        <v>0.000825482567485671</v>
      </c>
      <c r="P99" s="192" t="n">
        <f aca="false">Amortize!P44</f>
        <v>0.00125429737577655</v>
      </c>
      <c r="Q99" s="192" t="n">
        <f aca="false">Amortize!Q44</f>
        <v>0.00228925905407819</v>
      </c>
      <c r="R99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28" t="s">
        <v>608</v>
      </c>
      <c r="U99" s="41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9" s="52" t="s">
        <v>2476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1" t="s">
        <v>2477</v>
      </c>
      <c r="B100" s="28" t="s">
        <v>795</v>
      </c>
      <c r="C100" s="194" t="n">
        <f aca="false">Theory_Rev!C20</f>
        <v>0.268908103789957</v>
      </c>
      <c r="D100" s="194" t="n">
        <f aca="false">Theory_Rev!D20</f>
        <v>0.384206606148034</v>
      </c>
      <c r="E100" s="194" t="n">
        <f aca="false">Theory_Rev!E20</f>
        <v>0.659808522342852</v>
      </c>
      <c r="F100" s="194" t="n">
        <f aca="false">Theory_Rev!F20</f>
        <v>0.0549066744319596</v>
      </c>
      <c r="G100" s="194" t="n">
        <f aca="false">Theory_Rev!G20</f>
        <v>0.0733049419446403</v>
      </c>
      <c r="H100" s="194" t="n">
        <f aca="false">Theory_Rev!H20</f>
        <v>0.118881701640887</v>
      </c>
      <c r="I100" s="194" t="n">
        <f aca="false">Theory_Rev!I20</f>
        <v>0.049793847389683</v>
      </c>
      <c r="J100" s="194" t="n">
        <f aca="false">Theory_Rev!J20</f>
        <v>0.0643055377815363</v>
      </c>
      <c r="K100" s="194" t="n">
        <f aca="false">Theory_Rev!K20</f>
        <v>0.109468619996102</v>
      </c>
      <c r="L100" s="194" t="n">
        <f aca="false">Theory_Rev!L20</f>
        <v>0.0347350583568751</v>
      </c>
      <c r="M100" s="194" t="n">
        <f aca="false">Theory_Rev!M20</f>
        <v>0.0446375992677688</v>
      </c>
      <c r="N100" s="194" t="n">
        <f aca="false">Theory_Rev!N20</f>
        <v>0.0721006815327499</v>
      </c>
      <c r="O100" s="194" t="n">
        <f aca="false">Theory_Rev!O20</f>
        <v>0.0260531870036248</v>
      </c>
      <c r="P100" s="194" t="n">
        <f aca="false">Theory_Rev!P20</f>
        <v>0.0395868190529953</v>
      </c>
      <c r="Q100" s="194" t="n">
        <f aca="false">Theory_Rev!Q20</f>
        <v>0.0722507809044062</v>
      </c>
      <c r="R100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28" t="s">
        <v>2414</v>
      </c>
      <c r="U100" s="41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2" t="s">
        <v>2473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1" t="s">
        <v>2478</v>
      </c>
      <c r="B101" s="28" t="s">
        <v>1796</v>
      </c>
      <c r="C101" s="195" t="n">
        <f aca="false">Theory_Rev!C11</f>
        <v>3.57102907624799</v>
      </c>
      <c r="D101" s="195" t="n">
        <f aca="false">Theory_Rev!D11</f>
        <v>3.57102907624799</v>
      </c>
      <c r="E101" s="195" t="n">
        <f aca="false">Theory_Rev!E11</f>
        <v>3.57102907624799</v>
      </c>
      <c r="F101" s="195" t="n">
        <f aca="false">Theory_Rev!F11</f>
        <v>17.4680230535144</v>
      </c>
      <c r="G101" s="195" t="n">
        <f aca="false">Theory_Rev!G11</f>
        <v>17.4680230535144</v>
      </c>
      <c r="H101" s="195" t="n">
        <f aca="false">Theory_Rev!H11</f>
        <v>17.4680230535144</v>
      </c>
      <c r="I101" s="195" t="n">
        <f aca="false">Theory_Rev!I11</f>
        <v>25.4312759220773</v>
      </c>
      <c r="J101" s="195" t="n">
        <f aca="false">Theory_Rev!J11</f>
        <v>25.4312759220773</v>
      </c>
      <c r="K101" s="195" t="n">
        <f aca="false">Theory_Rev!K11</f>
        <v>25.4312759220773</v>
      </c>
      <c r="L101" s="195" t="n">
        <f aca="false">Theory_Rev!L11</f>
        <v>37.2582226398973</v>
      </c>
      <c r="M101" s="195" t="n">
        <f aca="false">Theory_Rev!M11</f>
        <v>37.2582226398973</v>
      </c>
      <c r="N101" s="195" t="n">
        <f aca="false">Theory_Rev!N11</f>
        <v>37.2582226398973</v>
      </c>
      <c r="O101" s="195" t="n">
        <f aca="false">Theory_Rev!O11</f>
        <v>50.3527379522069</v>
      </c>
      <c r="P101" s="195" t="n">
        <f aca="false">Theory_Rev!P11</f>
        <v>50.3527379522069</v>
      </c>
      <c r="Q101" s="195" t="n">
        <f aca="false">Theory_Rev!Q11</f>
        <v>50.3527379522069</v>
      </c>
      <c r="R101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2414</v>
      </c>
      <c r="U101" s="41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2" t="s">
        <v>2479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1" t="s">
        <v>2480</v>
      </c>
      <c r="B102" s="28" t="s">
        <v>1796</v>
      </c>
      <c r="C102" s="186" t="n">
        <f aca="false">Theory_Rev!C12</f>
        <v>3.57102907624799</v>
      </c>
      <c r="D102" s="186" t="n">
        <f aca="false">Theory_Rev!D12</f>
        <v>3.57102907624799</v>
      </c>
      <c r="E102" s="186" t="n">
        <f aca="false">Theory_Rev!E12</f>
        <v>3.57102907624799</v>
      </c>
      <c r="F102" s="186" t="n">
        <f aca="false">Theory_Rev!F12</f>
        <v>17.4680230535144</v>
      </c>
      <c r="G102" s="186" t="n">
        <f aca="false">Theory_Rev!G12</f>
        <v>17.4680230535144</v>
      </c>
      <c r="H102" s="186" t="n">
        <f aca="false">Theory_Rev!H12</f>
        <v>17.4680230535144</v>
      </c>
      <c r="I102" s="186" t="n">
        <f aca="false">Theory_Rev!I12</f>
        <v>25.4312759220773</v>
      </c>
      <c r="J102" s="186" t="n">
        <f aca="false">Theory_Rev!J12</f>
        <v>25.4312759220773</v>
      </c>
      <c r="K102" s="186" t="n">
        <f aca="false">Theory_Rev!K12</f>
        <v>25.4312759220773</v>
      </c>
      <c r="L102" s="186" t="n">
        <f aca="false">Theory_Rev!L12</f>
        <v>37.2582226398973</v>
      </c>
      <c r="M102" s="186" t="n">
        <f aca="false">Theory_Rev!M12</f>
        <v>37.2582226398973</v>
      </c>
      <c r="N102" s="186" t="n">
        <f aca="false">Theory_Rev!N12</f>
        <v>37.2582226398973</v>
      </c>
      <c r="O102" s="186" t="n">
        <f aca="false">Theory_Rev!O12</f>
        <v>50.3527379522069</v>
      </c>
      <c r="P102" s="186" t="n">
        <f aca="false">Theory_Rev!P12</f>
        <v>50.3527379522069</v>
      </c>
      <c r="Q102" s="186" t="n">
        <f aca="false">Theory_Rev!Q12</f>
        <v>50.3527379522069</v>
      </c>
      <c r="R102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2414</v>
      </c>
      <c r="U102" s="41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2" t="s">
        <v>2481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250</v>
      </c>
      <c r="B103" s="196"/>
      <c r="C103" s="43"/>
    </row>
    <row r="104" customFormat="false" ht="15" hidden="false" customHeight="true" outlineLevel="0" collapsed="false">
      <c r="A104" s="41" t="s">
        <v>2482</v>
      </c>
      <c r="B104" s="28" t="s">
        <v>795</v>
      </c>
      <c r="C104" s="43" t="n">
        <f aca="false">Price_Frontier!D41</f>
        <v>1.6</v>
      </c>
      <c r="R104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28" t="s">
        <v>608</v>
      </c>
      <c r="U104" s="41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2" t="s">
        <v>2455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1" t="s">
        <v>2483</v>
      </c>
      <c r="B105" s="28" t="s">
        <v>795</v>
      </c>
      <c r="C105" s="43" t="n">
        <f aca="false">Price_Frontier!D42</f>
        <v>0.16</v>
      </c>
      <c r="R105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28" t="s">
        <v>608</v>
      </c>
      <c r="U105" s="41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2" t="s">
        <v>2455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1" t="s">
        <v>2484</v>
      </c>
      <c r="B106" s="28" t="s">
        <v>795</v>
      </c>
      <c r="C106" s="43" t="n">
        <f aca="false">Price_Frontier!D43</f>
        <v>8</v>
      </c>
      <c r="R106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28" t="s">
        <v>608</v>
      </c>
      <c r="U106" s="41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2" t="s">
        <v>2455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1" t="s">
        <v>2485</v>
      </c>
      <c r="B107" s="28" t="s">
        <v>795</v>
      </c>
      <c r="C107" s="43" t="n">
        <f aca="false">Price_Frontier!D44</f>
        <v>8</v>
      </c>
      <c r="R107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28" t="s">
        <v>608</v>
      </c>
      <c r="U107" s="41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2" t="s">
        <v>2455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1" t="s">
        <v>2486</v>
      </c>
      <c r="B108" s="28" t="s">
        <v>795</v>
      </c>
      <c r="C108" s="53" t="n">
        <f aca="false">Price_Frontier!D45</f>
        <v>1.60711111111111</v>
      </c>
      <c r="R108" s="17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28" t="s">
        <v>608</v>
      </c>
      <c r="U108" s="41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2" t="s">
        <v>2460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1" t="s">
        <v>2487</v>
      </c>
      <c r="B109" s="28" t="s">
        <v>795</v>
      </c>
      <c r="C109" s="43" t="n">
        <f aca="false">Price_Frontier!D46</f>
        <v>1.60711111111111</v>
      </c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7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28" t="s">
        <v>608</v>
      </c>
      <c r="U109" s="41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2" t="s">
        <v>2462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1" t="s">
        <v>2488</v>
      </c>
      <c r="B110" s="196"/>
      <c r="C110" s="192" t="str">
        <f aca="false">Price_Frontier!D26</f>
        <v>GPT-6 Sol</v>
      </c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7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28" t="s">
        <v>608</v>
      </c>
      <c r="U110" s="41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2" t="s">
        <v>2464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1" t="s">
        <v>2489</v>
      </c>
      <c r="B111" s="41" t="s">
        <v>1156</v>
      </c>
      <c r="C111" s="30" t="n">
        <f aca="false">INDEX(B4_Life,1,2)</f>
        <v>12</v>
      </c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75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28" t="s">
        <v>608</v>
      </c>
      <c r="U111" s="41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2" t="s">
        <v>2451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1" t="s">
        <v>2490</v>
      </c>
      <c r="B112" s="28" t="s">
        <v>795</v>
      </c>
      <c r="C112" s="192" t="n">
        <f aca="false">Cache_Store!C23</f>
        <v>1.8859398782344E-005</v>
      </c>
      <c r="D112" s="192" t="n">
        <f aca="false">Cache_Store!D23</f>
        <v>1.8859398782344E-005</v>
      </c>
      <c r="E112" s="192" t="n">
        <f aca="false">Cache_Store!E23</f>
        <v>1.8859398782344E-005</v>
      </c>
      <c r="F112" s="192" t="n">
        <f aca="false">Cache_Store!F23</f>
        <v>1.8859398782344E-005</v>
      </c>
      <c r="G112" s="192" t="n">
        <f aca="false">Cache_Store!G23</f>
        <v>1.8859398782344E-005</v>
      </c>
      <c r="H112" s="192" t="n">
        <f aca="false">Cache_Store!H23</f>
        <v>1.8859398782344E-005</v>
      </c>
      <c r="I112" s="192" t="n">
        <f aca="false">Cache_Store!I23</f>
        <v>1.8859398782344E-005</v>
      </c>
      <c r="J112" s="192" t="n">
        <f aca="false">Cache_Store!J23</f>
        <v>1.8859398782344E-005</v>
      </c>
      <c r="K112" s="192" t="n">
        <f aca="false">Cache_Store!K23</f>
        <v>1.8859398782344E-005</v>
      </c>
      <c r="L112" s="192" t="n">
        <f aca="false">Cache_Store!L23</f>
        <v>1.8859398782344E-005</v>
      </c>
      <c r="M112" s="192" t="n">
        <f aca="false">Cache_Store!M23</f>
        <v>1.8859398782344E-005</v>
      </c>
      <c r="N112" s="192" t="n">
        <f aca="false">Cache_Store!N23</f>
        <v>1.8859398782344E-005</v>
      </c>
      <c r="O112" s="192" t="n">
        <f aca="false">Cache_Store!O23</f>
        <v>1.8859398782344E-005</v>
      </c>
      <c r="P112" s="192" t="n">
        <f aca="false">Cache_Store!P23</f>
        <v>1.8859398782344E-005</v>
      </c>
      <c r="Q112" s="192" t="n">
        <f aca="false">Cache_Store!Q23</f>
        <v>1.8859398782344E-005</v>
      </c>
      <c r="R112" s="175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28" t="s">
        <v>608</v>
      </c>
      <c r="U112" s="41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2" t="s">
        <v>2467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1" t="s">
        <v>2491</v>
      </c>
      <c r="B113" s="28" t="s">
        <v>795</v>
      </c>
      <c r="C113" s="192" t="n">
        <f aca="false">Amortize!C22</f>
        <v>0.171010511050873</v>
      </c>
      <c r="D113" s="192" t="n">
        <f aca="false">Amortize!D22</f>
        <v>0.244339813695328</v>
      </c>
      <c r="E113" s="192" t="n">
        <f aca="false">Amortize!E22</f>
        <v>0.419621330009195</v>
      </c>
      <c r="F113" s="192" t="n">
        <f aca="false">Amortize!F22</f>
        <v>0.0159893801066744</v>
      </c>
      <c r="G113" s="192" t="n">
        <f aca="false">Amortize!G22</f>
        <v>0.0213491859092809</v>
      </c>
      <c r="H113" s="192" t="n">
        <f aca="false">Amortize!H22</f>
        <v>0.0346266633084749</v>
      </c>
      <c r="I113" s="192" t="n">
        <f aca="false">Amortize!I22</f>
        <v>0.0143002608542256</v>
      </c>
      <c r="J113" s="192" t="n">
        <f aca="false">Amortize!J22</f>
        <v>0.018469614461431</v>
      </c>
      <c r="K113" s="192" t="n">
        <f aca="false">Amortize!K22</f>
        <v>0.0314454191167951</v>
      </c>
      <c r="L113" s="192" t="n">
        <f aca="false">Amortize!L22</f>
        <v>0.00546184221580753</v>
      </c>
      <c r="M113" s="192" t="n">
        <f aca="false">Amortize!M22</f>
        <v>0.00701987528196614</v>
      </c>
      <c r="N113" s="192" t="n">
        <f aca="false">Amortize!N22</f>
        <v>0.0113408258998428</v>
      </c>
      <c r="O113" s="192" t="n">
        <f aca="false">Amortize!O22</f>
        <v>0.00275204867902514</v>
      </c>
      <c r="P113" s="192" t="n">
        <f aca="false">Amortize!P22</f>
        <v>0.00418273664223652</v>
      </c>
      <c r="Q113" s="192" t="n">
        <f aca="false">Amortize!Q22</f>
        <v>0.00763575922192034</v>
      </c>
      <c r="R113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28" t="s">
        <v>608</v>
      </c>
      <c r="U113" s="41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2" t="s">
        <v>2469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1" t="s">
        <v>2492</v>
      </c>
      <c r="B114" s="28" t="s">
        <v>795</v>
      </c>
      <c r="C114" s="184" t="n">
        <f aca="false">Amortize!C24</f>
        <v>0.600549705636422</v>
      </c>
      <c r="D114" s="184" t="n">
        <f aca="false">Amortize!D24</f>
        <v>0.858055921418767</v>
      </c>
      <c r="E114" s="184" t="n">
        <f aca="false">Amortize!E24</f>
        <v>1.47358175263281</v>
      </c>
      <c r="F114" s="184" t="n">
        <f aca="false">Amortize!F24</f>
        <v>0.130648458909903</v>
      </c>
      <c r="G114" s="184" t="n">
        <f aca="false">Amortize!G24</f>
        <v>0.174435762741057</v>
      </c>
      <c r="H114" s="184" t="n">
        <f aca="false">Amortize!H24</f>
        <v>0.282907031738724</v>
      </c>
      <c r="I114" s="184" t="n">
        <f aca="false">Amortize!I24</f>
        <v>0.114412296158999</v>
      </c>
      <c r="J114" s="184" t="n">
        <f aca="false">Amortize!J24</f>
        <v>0.14776365429894</v>
      </c>
      <c r="K114" s="184" t="n">
        <f aca="false">Amortize!K24</f>
        <v>0.251559290022202</v>
      </c>
      <c r="L114" s="184" t="n">
        <f aca="false">Amortize!L24</f>
        <v>0.0808819890837787</v>
      </c>
      <c r="M114" s="184" t="n">
        <f aca="false">Amortize!M24</f>
        <v>0.103947898919895</v>
      </c>
      <c r="N114" s="184" t="n">
        <f aca="false">Amortize!N24</f>
        <v>0.167917438156943</v>
      </c>
      <c r="O114" s="184" t="n">
        <f aca="false">Amortize!O24</f>
        <v>0.0621848378353225</v>
      </c>
      <c r="P114" s="184" t="n">
        <f aca="false">Amortize!P24</f>
        <v>0.0945009310541822</v>
      </c>
      <c r="Q114" s="184" t="n">
        <f aca="false">Amortize!Q24</f>
        <v>0.172497113618978</v>
      </c>
      <c r="R114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28" t="s">
        <v>608</v>
      </c>
      <c r="U114" s="41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2" t="s">
        <v>2471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1" t="s">
        <v>2493</v>
      </c>
      <c r="B115" s="28" t="s">
        <v>795</v>
      </c>
      <c r="C115" s="184" t="n">
        <f aca="false">Theory_Rev!C36</f>
        <v>0.588341662425336</v>
      </c>
      <c r="D115" s="184" t="n">
        <f aca="false">Theory_Rev!D36</f>
        <v>0.840615962477861</v>
      </c>
      <c r="E115" s="184" t="n">
        <f aca="false">Theory_Rev!E36</f>
        <v>1.44363576827946</v>
      </c>
      <c r="F115" s="184" t="n">
        <f aca="false">Theory_Rev!F36</f>
        <v>0.10677898714576</v>
      </c>
      <c r="G115" s="184" t="n">
        <f aca="false">Theory_Rev!G36</f>
        <v>0.142567258322558</v>
      </c>
      <c r="H115" s="184" t="n">
        <f aca="false">Theory_Rev!H36</f>
        <v>0.231223075194707</v>
      </c>
      <c r="I115" s="184" t="n">
        <f aca="false">Theory_Rev!I36</f>
        <v>0.0938071107274286</v>
      </c>
      <c r="J115" s="184" t="n">
        <f aca="false">Theory_Rev!J36</f>
        <v>0.12115283185561</v>
      </c>
      <c r="K115" s="184" t="n">
        <f aca="false">Theory_Rev!K36</f>
        <v>0.206257807098325</v>
      </c>
      <c r="L115" s="184" t="n">
        <f aca="false">Theory_Rev!L36</f>
        <v>0.0616679702231791</v>
      </c>
      <c r="M115" s="184" t="n">
        <f aca="false">Theory_Rev!M36</f>
        <v>0.0792548558873168</v>
      </c>
      <c r="N115" s="184" t="n">
        <f aca="false">Theory_Rev!N36</f>
        <v>0.128029215127549</v>
      </c>
      <c r="O115" s="184" t="n">
        <f aca="false">Theory_Rev!O36</f>
        <v>0.0459652410730628</v>
      </c>
      <c r="P115" s="184" t="n">
        <f aca="false">Theory_Rev!P36</f>
        <v>0.069852875171414</v>
      </c>
      <c r="Q115" s="184" t="n">
        <f aca="false">Theory_Rev!Q36</f>
        <v>0.127506634787651</v>
      </c>
      <c r="R115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28" t="s">
        <v>2414</v>
      </c>
      <c r="U115" s="41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2" t="s">
        <v>2473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1" t="s">
        <v>2494</v>
      </c>
      <c r="B116" s="28" t="s">
        <v>795</v>
      </c>
      <c r="C116" s="193" t="n">
        <f aca="false">Amortize!C45</f>
        <v>0.37339121839945</v>
      </c>
      <c r="D116" s="193" t="n">
        <f aca="false">Amortize!D45</f>
        <v>0.533489622690001</v>
      </c>
      <c r="E116" s="193" t="n">
        <f aca="false">Amortize!E45</f>
        <v>0.916178262176196</v>
      </c>
      <c r="F116" s="193" t="n">
        <f aca="false">Amortize!F45</f>
        <v>0.0757632020397096</v>
      </c>
      <c r="G116" s="193" t="n">
        <f aca="false">Amortize!G45</f>
        <v>0.101150905284473</v>
      </c>
      <c r="H116" s="193" t="n">
        <f aca="false">Amortize!H45</f>
        <v>0.164042112254299</v>
      </c>
      <c r="I116" s="193" t="n">
        <f aca="false">Amortize!I45</f>
        <v>0.0735684099853945</v>
      </c>
      <c r="J116" s="193" t="n">
        <f aca="false">Amortize!J45</f>
        <v>0.0950098317157649</v>
      </c>
      <c r="K116" s="193" t="n">
        <f aca="false">Amortize!K45</f>
        <v>0.161739527999082</v>
      </c>
      <c r="L116" s="193" t="n">
        <f aca="false">Amortize!L45</f>
        <v>0.0446790819458483</v>
      </c>
      <c r="M116" s="193" t="n">
        <f aca="false">Amortize!M45</f>
        <v>0.0574168489623591</v>
      </c>
      <c r="N116" s="193" t="n">
        <f aca="false">Amortize!N45</f>
        <v>0.0927429684497086</v>
      </c>
      <c r="O116" s="193" t="n">
        <f aca="false">Amortize!O45</f>
        <v>0.0330042671617454</v>
      </c>
      <c r="P116" s="193" t="n">
        <f aca="false">Amortize!P45</f>
        <v>0.0501490489575044</v>
      </c>
      <c r="Q116" s="193" t="n">
        <f aca="false">Amortize!Q45</f>
        <v>0.0915286650490684</v>
      </c>
      <c r="R116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28" t="s">
        <v>608</v>
      </c>
      <c r="U116" s="41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2" t="s">
        <v>2473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1" t="s">
        <v>2495</v>
      </c>
      <c r="B117" s="28" t="s">
        <v>795</v>
      </c>
      <c r="C117" s="192" t="n">
        <f aca="false">Amortize!C46</f>
        <v>0.76075138172424</v>
      </c>
      <c r="D117" s="192" t="n">
        <f aca="false">Amortize!D46</f>
        <v>1.08693763430393</v>
      </c>
      <c r="E117" s="192" t="n">
        <f aca="false">Amortize!E46</f>
        <v>1.86663168417268</v>
      </c>
      <c r="F117" s="192" t="n">
        <f aca="false">Amortize!F46</f>
        <v>0.158902140573672</v>
      </c>
      <c r="G117" s="192" t="n">
        <f aca="false">Amortize!G46</f>
        <v>0.21214910323145</v>
      </c>
      <c r="H117" s="192" t="n">
        <f aca="false">Amortize!H46</f>
        <v>0.344054132872743</v>
      </c>
      <c r="I117" s="192" t="n">
        <f aca="false">Amortize!I46</f>
        <v>0.149431056183798</v>
      </c>
      <c r="J117" s="192" t="n">
        <f aca="false">Amortize!J46</f>
        <v>0.192982551939757</v>
      </c>
      <c r="K117" s="192" t="n">
        <f aca="false">Amortize!K46</f>
        <v>0.328522914935502</v>
      </c>
      <c r="L117" s="192" t="n">
        <f aca="false">Amortize!L46</f>
        <v>0.0971179608385562</v>
      </c>
      <c r="M117" s="192" t="n">
        <f aca="false">Amortize!M46</f>
        <v>0.124805771429192</v>
      </c>
      <c r="N117" s="192" t="n">
        <f aca="false">Amortize!N46</f>
        <v>0.201593398648318</v>
      </c>
      <c r="O117" s="192" t="n">
        <f aca="false">Amortize!O46</f>
        <v>0.0737187706076097</v>
      </c>
      <c r="P117" s="192" t="n">
        <f aca="false">Amortize!P46</f>
        <v>0.1120135835215</v>
      </c>
      <c r="Q117" s="192" t="n">
        <f aca="false">Amortize!Q46</f>
        <v>0.204439645022441</v>
      </c>
      <c r="R117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28" t="s">
        <v>608</v>
      </c>
      <c r="U117" s="41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7" s="52" t="s">
        <v>2476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1" t="s">
        <v>2496</v>
      </c>
      <c r="B118" s="28" t="s">
        <v>795</v>
      </c>
      <c r="C118" s="194" t="n">
        <f aca="false">Theory_Rev!C38</f>
        <v>0.790722369773913</v>
      </c>
      <c r="D118" s="194" t="n">
        <f aca="false">Theory_Rev!D38</f>
        <v>1.12976577147253</v>
      </c>
      <c r="E118" s="194" t="n">
        <f aca="false">Theory_Rev!E38</f>
        <v>1.94019270044646</v>
      </c>
      <c r="F118" s="194" t="n">
        <f aca="false">Theory_Rev!F38</f>
        <v>0.166552809078795</v>
      </c>
      <c r="G118" s="194" t="n">
        <f aca="false">Theory_Rev!G38</f>
        <v>0.22236897769775</v>
      </c>
      <c r="H118" s="194" t="n">
        <f aca="false">Theory_Rev!H38</f>
        <v>0.360638524140531</v>
      </c>
      <c r="I118" s="194" t="n">
        <f aca="false">Theory_Rev!I38</f>
        <v>0.153075259858597</v>
      </c>
      <c r="J118" s="194" t="n">
        <f aca="false">Theory_Rev!J38</f>
        <v>0.197693049109943</v>
      </c>
      <c r="K118" s="194" t="n">
        <f aca="false">Theory_Rev!K38</f>
        <v>0.336551915980613</v>
      </c>
      <c r="L118" s="194" t="n">
        <f aca="false">Theory_Rev!L38</f>
        <v>0.10088520995322</v>
      </c>
      <c r="M118" s="194" t="n">
        <f aca="false">Theory_Rev!M38</f>
        <v>0.12965182956771</v>
      </c>
      <c r="N118" s="194" t="n">
        <f aca="false">Theory_Rev!N38</f>
        <v>0.209431357677415</v>
      </c>
      <c r="O118" s="194" t="n">
        <f aca="false">Theory_Rev!O38</f>
        <v>0.076217459555783</v>
      </c>
      <c r="P118" s="194" t="n">
        <f aca="false">Theory_Rev!P38</f>
        <v>0.115819187486682</v>
      </c>
      <c r="Q118" s="194" t="n">
        <f aca="false">Theory_Rev!Q38</f>
        <v>0.211399540614799</v>
      </c>
      <c r="R118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28" t="s">
        <v>2414</v>
      </c>
      <c r="U118" s="41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2" t="s">
        <v>2473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1" t="s">
        <v>2497</v>
      </c>
      <c r="B119" s="28" t="s">
        <v>1796</v>
      </c>
      <c r="C119" s="195" t="n">
        <f aca="false">Theory_Rev!C29</f>
        <v>20.7225049979976</v>
      </c>
      <c r="D119" s="195" t="n">
        <f aca="false">Theory_Rev!D29</f>
        <v>20.7225049979976</v>
      </c>
      <c r="E119" s="195" t="n">
        <f aca="false">Theory_Rev!E29</f>
        <v>20.7225049979976</v>
      </c>
      <c r="F119" s="195" t="n">
        <f aca="false">Theory_Rev!F29</f>
        <v>100.404653415384</v>
      </c>
      <c r="G119" s="195" t="n">
        <f aca="false">Theory_Rev!G29</f>
        <v>100.404653415384</v>
      </c>
      <c r="H119" s="195" t="n">
        <f aca="false">Theory_Rev!H29</f>
        <v>100.404653415384</v>
      </c>
      <c r="I119" s="195" t="n">
        <f aca="false">Theory_Rev!I29</f>
        <v>146.176727443319</v>
      </c>
      <c r="J119" s="195" t="n">
        <f aca="false">Theory_Rev!J29</f>
        <v>146.176727443319</v>
      </c>
      <c r="K119" s="195" t="n">
        <f aca="false">Theory_Rev!K29</f>
        <v>146.176727443319</v>
      </c>
      <c r="L119" s="195" t="n">
        <f aca="false">Theory_Rev!L29</f>
        <v>228.808271164193</v>
      </c>
      <c r="M119" s="195" t="n">
        <f aca="false">Theory_Rev!M29</f>
        <v>228.808271164193</v>
      </c>
      <c r="N119" s="195" t="n">
        <f aca="false">Theory_Rev!N29</f>
        <v>228.808271164193</v>
      </c>
      <c r="O119" s="195" t="n">
        <f aca="false">Theory_Rev!O29</f>
        <v>314.529969229019</v>
      </c>
      <c r="P119" s="195" t="n">
        <f aca="false">Theory_Rev!P29</f>
        <v>314.529969229019</v>
      </c>
      <c r="Q119" s="195" t="n">
        <f aca="false">Theory_Rev!Q29</f>
        <v>314.529969229019</v>
      </c>
      <c r="R11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2414</v>
      </c>
      <c r="U119" s="41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2" t="s">
        <v>2479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1" t="s">
        <v>2498</v>
      </c>
      <c r="B120" s="28" t="s">
        <v>1796</v>
      </c>
      <c r="C120" s="186" t="n">
        <f aca="false">Theory_Rev!C30</f>
        <v>20.7225049979976</v>
      </c>
      <c r="D120" s="186" t="n">
        <f aca="false">Theory_Rev!D30</f>
        <v>20.7225049979976</v>
      </c>
      <c r="E120" s="186" t="n">
        <f aca="false">Theory_Rev!E30</f>
        <v>20.7225049979976</v>
      </c>
      <c r="F120" s="186" t="n">
        <f aca="false">Theory_Rev!F30</f>
        <v>100.404653415384</v>
      </c>
      <c r="G120" s="186" t="n">
        <f aca="false">Theory_Rev!G30</f>
        <v>100.404653415384</v>
      </c>
      <c r="H120" s="186" t="n">
        <f aca="false">Theory_Rev!H30</f>
        <v>100.404653415384</v>
      </c>
      <c r="I120" s="186" t="n">
        <f aca="false">Theory_Rev!I30</f>
        <v>146.176727443319</v>
      </c>
      <c r="J120" s="186" t="n">
        <f aca="false">Theory_Rev!J30</f>
        <v>146.176727443319</v>
      </c>
      <c r="K120" s="186" t="n">
        <f aca="false">Theory_Rev!K30</f>
        <v>146.176727443319</v>
      </c>
      <c r="L120" s="186" t="n">
        <f aca="false">Theory_Rev!L30</f>
        <v>228.808271164193</v>
      </c>
      <c r="M120" s="186" t="n">
        <f aca="false">Theory_Rev!M30</f>
        <v>228.808271164193</v>
      </c>
      <c r="N120" s="186" t="n">
        <f aca="false">Theory_Rev!N30</f>
        <v>228.808271164193</v>
      </c>
      <c r="O120" s="186" t="n">
        <f aca="false">Theory_Rev!O30</f>
        <v>314.529969229019</v>
      </c>
      <c r="P120" s="186" t="n">
        <f aca="false">Theory_Rev!P30</f>
        <v>314.529969229019</v>
      </c>
      <c r="Q120" s="186" t="n">
        <f aca="false">Theory_Rev!Q30</f>
        <v>314.529969229019</v>
      </c>
      <c r="R120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2414</v>
      </c>
      <c r="U120" s="41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2" t="s">
        <v>2481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251</v>
      </c>
      <c r="B121" s="196"/>
      <c r="C121" s="43"/>
    </row>
    <row r="122" customFormat="false" ht="15" hidden="false" customHeight="true" outlineLevel="0" collapsed="false">
      <c r="A122" s="41" t="s">
        <v>2499</v>
      </c>
      <c r="B122" s="28" t="s">
        <v>795</v>
      </c>
      <c r="C122" s="43" t="n">
        <f aca="false">Price_Frontier!E41</f>
        <v>8</v>
      </c>
      <c r="R122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28" t="s">
        <v>608</v>
      </c>
      <c r="U122" s="41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2" t="s">
        <v>2455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1" t="s">
        <v>2500</v>
      </c>
      <c r="B123" s="28" t="s">
        <v>795</v>
      </c>
      <c r="C123" s="43" t="n">
        <f aca="false">Price_Frontier!E42</f>
        <v>0.8</v>
      </c>
      <c r="R123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28" t="s">
        <v>608</v>
      </c>
      <c r="U123" s="41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2" t="s">
        <v>2455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1" t="s">
        <v>2501</v>
      </c>
      <c r="B124" s="28" t="s">
        <v>795</v>
      </c>
      <c r="C124" s="43" t="n">
        <f aca="false">Price_Frontier!E43</f>
        <v>40</v>
      </c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28" t="s">
        <v>608</v>
      </c>
      <c r="U124" s="41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2" t="s">
        <v>2455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1" t="s">
        <v>2502</v>
      </c>
      <c r="B125" s="28" t="s">
        <v>795</v>
      </c>
      <c r="C125" s="43" t="n">
        <f aca="false">Price_Frontier!E44</f>
        <v>40</v>
      </c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28" t="s">
        <v>608</v>
      </c>
      <c r="U125" s="41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2" t="s">
        <v>2455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1" t="s">
        <v>2503</v>
      </c>
      <c r="B126" s="28" t="s">
        <v>795</v>
      </c>
      <c r="C126" s="53" t="n">
        <f aca="false">Price_Frontier!E45</f>
        <v>8.03555555555555</v>
      </c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7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28" t="s">
        <v>608</v>
      </c>
      <c r="U126" s="41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2" t="s">
        <v>2460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1" t="s">
        <v>2504</v>
      </c>
      <c r="B127" s="28" t="s">
        <v>795</v>
      </c>
      <c r="C127" s="43" t="n">
        <f aca="false">Price_Frontier!E46</f>
        <v>7.74222222222222</v>
      </c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7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28" t="s">
        <v>608</v>
      </c>
      <c r="U127" s="41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2" t="s">
        <v>2462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1" t="s">
        <v>2505</v>
      </c>
      <c r="B128" s="196"/>
      <c r="C128" s="186" t="str">
        <f aca="false">Price_Frontier!E26</f>
        <v>Claude Fable 5.1</v>
      </c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7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28" t="s">
        <v>608</v>
      </c>
      <c r="U128" s="41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2" t="s">
        <v>2464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1" t="s">
        <v>2506</v>
      </c>
      <c r="B129" s="41" t="s">
        <v>1156</v>
      </c>
      <c r="C129" s="30" t="n">
        <f aca="false">INDEX(B4_Life,1,3)</f>
        <v>9</v>
      </c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75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28" t="s">
        <v>608</v>
      </c>
      <c r="U129" s="41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2" t="s">
        <v>2451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1" t="s">
        <v>2507</v>
      </c>
      <c r="B130" s="28" t="s">
        <v>795</v>
      </c>
      <c r="C130" s="192" t="n">
        <f aca="false">Cache_Store!C29</f>
        <v>0.000273972602739726</v>
      </c>
      <c r="D130" s="192" t="n">
        <f aca="false">Cache_Store!D29</f>
        <v>0.000273972602739726</v>
      </c>
      <c r="E130" s="192" t="n">
        <f aca="false">Cache_Store!E29</f>
        <v>0.000273972602739726</v>
      </c>
      <c r="F130" s="192" t="n">
        <f aca="false">Cache_Store!F29</f>
        <v>0.000273972602739726</v>
      </c>
      <c r="G130" s="192" t="n">
        <f aca="false">Cache_Store!G29</f>
        <v>0.000273972602739726</v>
      </c>
      <c r="H130" s="192" t="n">
        <f aca="false">Cache_Store!H29</f>
        <v>0.000273972602739726</v>
      </c>
      <c r="I130" s="192" t="n">
        <f aca="false">Cache_Store!I29</f>
        <v>0.000273972602739726</v>
      </c>
      <c r="J130" s="192" t="n">
        <f aca="false">Cache_Store!J29</f>
        <v>0.000273972602739726</v>
      </c>
      <c r="K130" s="192" t="n">
        <f aca="false">Cache_Store!K29</f>
        <v>0.000273972602739726</v>
      </c>
      <c r="L130" s="192" t="n">
        <f aca="false">Cache_Store!L29</f>
        <v>0.000273972602739726</v>
      </c>
      <c r="M130" s="192" t="n">
        <f aca="false">Cache_Store!M29</f>
        <v>0.000273972602739726</v>
      </c>
      <c r="N130" s="192" t="n">
        <f aca="false">Cache_Store!N29</f>
        <v>0.000273972602739726</v>
      </c>
      <c r="O130" s="192" t="n">
        <f aca="false">Cache_Store!O29</f>
        <v>0.000273972602739726</v>
      </c>
      <c r="P130" s="192" t="n">
        <f aca="false">Cache_Store!P29</f>
        <v>0.000273972602739726</v>
      </c>
      <c r="Q130" s="192" t="n">
        <f aca="false">Cache_Store!Q29</f>
        <v>0.000273972602739726</v>
      </c>
      <c r="R130" s="175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28" t="s">
        <v>608</v>
      </c>
      <c r="U130" s="41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2" t="s">
        <v>2508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1" t="s">
        <v>2509</v>
      </c>
      <c r="B131" s="28" t="s">
        <v>795</v>
      </c>
      <c r="C131" s="192" t="n">
        <f aca="false">Amortize!C32</f>
        <v>4.21660204115075</v>
      </c>
      <c r="D131" s="192" t="n">
        <f aca="false">Amortize!D32</f>
        <v>6.02468088558382</v>
      </c>
      <c r="E131" s="192" t="n">
        <f aca="false">Amortize!E32</f>
        <v>10.3465930003613</v>
      </c>
      <c r="F131" s="192" t="n">
        <f aca="false">Amortize!F32</f>
        <v>0.402092994157101</v>
      </c>
      <c r="G131" s="192" t="n">
        <f aca="false">Amortize!G32</f>
        <v>0.536878729995042</v>
      </c>
      <c r="H131" s="192" t="n">
        <f aca="false">Amortize!H32</f>
        <v>0.870774140991408</v>
      </c>
      <c r="I131" s="192" t="n">
        <f aca="false">Amortize!I32</f>
        <v>0.366823042465288</v>
      </c>
      <c r="J131" s="192" t="n">
        <f aca="false">Amortize!J32</f>
        <v>0.473773187703846</v>
      </c>
      <c r="K131" s="192" t="n">
        <f aca="false">Amortize!K32</f>
        <v>0.806621951138076</v>
      </c>
      <c r="L131" s="192" t="n">
        <f aca="false">Amortize!L32</f>
        <v>0.136157625325142</v>
      </c>
      <c r="M131" s="192" t="n">
        <f aca="false">Amortize!M32</f>
        <v>0.174997649273883</v>
      </c>
      <c r="N131" s="192" t="n">
        <f aca="false">Amortize!N32</f>
        <v>0.282714121488067</v>
      </c>
      <c r="O131" s="192" t="n">
        <f aca="false">Amortize!O32</f>
        <v>0.0696087421755187</v>
      </c>
      <c r="P131" s="192" t="n">
        <f aca="false">Amortize!P32</f>
        <v>0.105795743635128</v>
      </c>
      <c r="Q131" s="192" t="n">
        <f aca="false">Amortize!Q32</f>
        <v>0.193134517948015</v>
      </c>
      <c r="R131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28" t="s">
        <v>608</v>
      </c>
      <c r="U131" s="41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2" t="s">
        <v>2469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1" t="s">
        <v>2510</v>
      </c>
      <c r="B132" s="28" t="s">
        <v>795</v>
      </c>
      <c r="C132" s="184" t="n">
        <f aca="false">Amortize!C34</f>
        <v>3.68000036091984</v>
      </c>
      <c r="D132" s="184" t="n">
        <f aca="false">Amortize!D34</f>
        <v>5.25784666981243</v>
      </c>
      <c r="E132" s="184" t="n">
        <f aca="false">Amortize!E34</f>
        <v>9.02942615521809</v>
      </c>
      <c r="F132" s="184" t="n">
        <f aca="false">Amortize!F34</f>
        <v>0.719884900727599</v>
      </c>
      <c r="G132" s="184" t="n">
        <f aca="false">Amortize!G34</f>
        <v>0.961090090684005</v>
      </c>
      <c r="H132" s="184" t="n">
        <f aca="false">Amortize!H34</f>
        <v>1.55861107860059</v>
      </c>
      <c r="I132" s="184" t="n">
        <f aca="false">Amortize!I34</f>
        <v>0.771872419196334</v>
      </c>
      <c r="J132" s="184" t="n">
        <f aca="false">Amortize!J34</f>
        <v>0.996824237261942</v>
      </c>
      <c r="K132" s="184" t="n">
        <f aca="false">Amortize!K34</f>
        <v>1.69691617550482</v>
      </c>
      <c r="L132" s="184" t="n">
        <f aca="false">Amortize!L34</f>
        <v>0.396015125991253</v>
      </c>
      <c r="M132" s="184" t="n">
        <f aca="false">Amortize!M34</f>
        <v>0.508889890366036</v>
      </c>
      <c r="N132" s="184" t="n">
        <f aca="false">Amortize!N34</f>
        <v>0.821929641229864</v>
      </c>
      <c r="O132" s="184" t="n">
        <f aca="false">Amortize!O34</f>
        <v>0.286637340360856</v>
      </c>
      <c r="P132" s="184" t="n">
        <f aca="false">Amortize!P34</f>
        <v>0.435482452267704</v>
      </c>
      <c r="Q132" s="184" t="n">
        <f aca="false">Amortize!Q34</f>
        <v>0.794726078764881</v>
      </c>
      <c r="R132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28" t="s">
        <v>608</v>
      </c>
      <c r="U132" s="41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2" t="s">
        <v>2471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1" t="s">
        <v>2511</v>
      </c>
      <c r="B133" s="28" t="s">
        <v>795</v>
      </c>
      <c r="C133" s="184" t="n">
        <f aca="false">Theory_Rev!C54</f>
        <v>6.77389042755267</v>
      </c>
      <c r="D133" s="184" t="n">
        <f aca="false">Theory_Rev!D54</f>
        <v>9.67843874087721</v>
      </c>
      <c r="E133" s="184" t="n">
        <f aca="false">Theory_Rev!E54</f>
        <v>16.6212789726315</v>
      </c>
      <c r="F133" s="184" t="n">
        <f aca="false">Theory_Rev!F54</f>
        <v>0.902351992967805</v>
      </c>
      <c r="G133" s="184" t="n">
        <f aca="false">Theory_Rev!G54</f>
        <v>1.20475489470766</v>
      </c>
      <c r="H133" s="184" t="n">
        <f aca="false">Theory_Rev!H54</f>
        <v>1.95387675493419</v>
      </c>
      <c r="I133" s="184" t="n">
        <f aca="false">Theory_Rev!I54</f>
        <v>0.903208960889859</v>
      </c>
      <c r="J133" s="184" t="n">
        <f aca="false">Theory_Rev!J54</f>
        <v>1.16648155597062</v>
      </c>
      <c r="K133" s="184" t="n">
        <f aca="false">Theory_Rev!K54</f>
        <v>1.98583488665837</v>
      </c>
      <c r="L133" s="184" t="n">
        <f aca="false">Theory_Rev!L54</f>
        <v>0.411354577285165</v>
      </c>
      <c r="M133" s="184" t="n">
        <f aca="false">Theory_Rev!M54</f>
        <v>0.528632996816382</v>
      </c>
      <c r="N133" s="184" t="n">
        <f aca="false">Theory_Rev!N54</f>
        <v>0.85388556708848</v>
      </c>
      <c r="O133" s="184" t="n">
        <f aca="false">Theory_Rev!O54</f>
        <v>0.268797402426283</v>
      </c>
      <c r="P133" s="184" t="n">
        <f aca="false">Theory_Rev!P54</f>
        <v>0.408419142668617</v>
      </c>
      <c r="Q133" s="184" t="n">
        <f aca="false">Theory_Rev!Q54</f>
        <v>0.745401793021915</v>
      </c>
      <c r="R133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28" t="s">
        <v>2414</v>
      </c>
      <c r="U133" s="41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2" t="s">
        <v>2473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1" t="s">
        <v>2512</v>
      </c>
      <c r="B134" s="28" t="s">
        <v>795</v>
      </c>
      <c r="C134" s="193" t="n">
        <f aca="false">Amortize!C47</f>
        <v>9.20669825483718</v>
      </c>
      <c r="D134" s="193" t="n">
        <f aca="false">Amortize!D47</f>
        <v>13.1542407431214</v>
      </c>
      <c r="E134" s="193" t="n">
        <f aca="false">Amortize!E47</f>
        <v>22.5901852851657</v>
      </c>
      <c r="F134" s="193" t="n">
        <f aca="false">Amortize!F47</f>
        <v>1.9052553977599</v>
      </c>
      <c r="G134" s="193" t="n">
        <f aca="false">Amortize!G47</f>
        <v>2.54369275707928</v>
      </c>
      <c r="H134" s="193" t="n">
        <f aca="false">Amortize!H47</f>
        <v>4.12524961218807</v>
      </c>
      <c r="I134" s="193" t="n">
        <f aca="false">Amortize!I47</f>
        <v>1.88713956026905</v>
      </c>
      <c r="J134" s="193" t="n">
        <f aca="false">Amortize!J47</f>
        <v>2.43714404159232</v>
      </c>
      <c r="K134" s="193" t="n">
        <f aca="false">Amortize!K47</f>
        <v>4.14886038459861</v>
      </c>
      <c r="L134" s="193" t="n">
        <f aca="false">Amortize!L47</f>
        <v>1.11379960443524</v>
      </c>
      <c r="M134" s="193" t="n">
        <f aca="false">Amortize!M47</f>
        <v>1.43133790751795</v>
      </c>
      <c r="N134" s="193" t="n">
        <f aca="false">Amortize!N47</f>
        <v>2.31197860552805</v>
      </c>
      <c r="O134" s="193" t="n">
        <f aca="false">Amortize!O47</f>
        <v>0.834791019891287</v>
      </c>
      <c r="P134" s="193" t="n">
        <f aca="false">Amortize!P47</f>
        <v>1.26844130550297</v>
      </c>
      <c r="Q134" s="193" t="n">
        <f aca="false">Amortize!Q47</f>
        <v>2.31507360157847</v>
      </c>
      <c r="R134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28" t="s">
        <v>608</v>
      </c>
      <c r="U134" s="41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2" t="s">
        <v>2473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1" t="s">
        <v>2513</v>
      </c>
      <c r="B135" s="28" t="s">
        <v>795</v>
      </c>
      <c r="C135" s="192" t="n">
        <f aca="false">Amortize!C48</f>
        <v>6.59043473451061</v>
      </c>
      <c r="D135" s="192" t="n">
        <f aca="false">Amortize!D48</f>
        <v>9.41620575585105</v>
      </c>
      <c r="E135" s="192" t="n">
        <f aca="false">Amortize!E48</f>
        <v>16.1707419578094</v>
      </c>
      <c r="F135" s="192" t="n">
        <f aca="false">Amortize!F48</f>
        <v>1.35822518708084</v>
      </c>
      <c r="G135" s="192" t="n">
        <f aca="false">Amortize!G48</f>
        <v>1.81335666332307</v>
      </c>
      <c r="H135" s="192" t="n">
        <f aca="false">Amortize!H48</f>
        <v>2.94082249175466</v>
      </c>
      <c r="I135" s="192" t="n">
        <f aca="false">Amortize!I48</f>
        <v>1.33996958943401</v>
      </c>
      <c r="J135" s="192" t="n">
        <f aca="false">Amortize!J48</f>
        <v>1.73050206225257</v>
      </c>
      <c r="K135" s="192" t="n">
        <f aca="false">Amortize!K48</f>
        <v>2.94591182507828</v>
      </c>
      <c r="L135" s="192" t="n">
        <f aca="false">Amortize!L48</f>
        <v>0.795400319476929</v>
      </c>
      <c r="M135" s="192" t="n">
        <f aca="false">Amortize!M48</f>
        <v>1.02216469137327</v>
      </c>
      <c r="N135" s="192" t="n">
        <f aca="false">Amortize!N48</f>
        <v>1.65105869506327</v>
      </c>
      <c r="O135" s="192" t="n">
        <f aca="false">Amortize!O48</f>
        <v>0.594263829823415</v>
      </c>
      <c r="P135" s="192" t="n">
        <f aca="false">Amortize!P48</f>
        <v>0.902967054212651</v>
      </c>
      <c r="Q135" s="192" t="n">
        <f aca="false">Amortize!Q48</f>
        <v>1.64803462425395</v>
      </c>
      <c r="R135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28" t="s">
        <v>608</v>
      </c>
      <c r="U135" s="41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5" s="52" t="s">
        <v>2476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1" t="s">
        <v>2514</v>
      </c>
      <c r="B136" s="28" t="s">
        <v>795</v>
      </c>
      <c r="C136" s="194" t="n">
        <f aca="false">Theory_Rev!C56</f>
        <v>11.7639866412391</v>
      </c>
      <c r="D136" s="194" t="n">
        <f aca="false">Theory_Rev!D56</f>
        <v>16.8079985984148</v>
      </c>
      <c r="E136" s="194" t="n">
        <f aca="false">Theory_Rev!E56</f>
        <v>28.8648712574359</v>
      </c>
      <c r="F136" s="194" t="n">
        <f aca="false">Theory_Rev!F56</f>
        <v>2.40551439657061</v>
      </c>
      <c r="G136" s="194" t="n">
        <f aca="false">Theory_Rev!G56</f>
        <v>3.21156892179189</v>
      </c>
      <c r="H136" s="194" t="n">
        <f aca="false">Theory_Rev!H56</f>
        <v>5.20835222613085</v>
      </c>
      <c r="I136" s="194" t="n">
        <f aca="false">Theory_Rev!I56</f>
        <v>2.42352547869363</v>
      </c>
      <c r="J136" s="194" t="n">
        <f aca="false">Theory_Rev!J56</f>
        <v>3.1298524098591</v>
      </c>
      <c r="K136" s="194" t="n">
        <f aca="false">Theory_Rev!K56</f>
        <v>5.32807332011891</v>
      </c>
      <c r="L136" s="194" t="n">
        <f aca="false">Theory_Rev!L56</f>
        <v>1.38899655639526</v>
      </c>
      <c r="M136" s="194" t="n">
        <f aca="false">Theory_Rev!M56</f>
        <v>1.78497325506045</v>
      </c>
      <c r="N136" s="194" t="n">
        <f aca="false">Theory_Rev!N56</f>
        <v>2.88315005112846</v>
      </c>
      <c r="O136" s="194" t="n">
        <f aca="false">Theory_Rev!O56</f>
        <v>1.03397968014205</v>
      </c>
      <c r="P136" s="194" t="n">
        <f aca="false">Theory_Rev!P56</f>
        <v>1.57106470453646</v>
      </c>
      <c r="Q136" s="194" t="n">
        <f aca="false">Theory_Rev!Q56</f>
        <v>2.86734087665237</v>
      </c>
      <c r="R136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28" t="s">
        <v>2414</v>
      </c>
      <c r="U136" s="41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2" t="s">
        <v>2473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1" t="s">
        <v>2515</v>
      </c>
      <c r="B137" s="28" t="s">
        <v>1796</v>
      </c>
      <c r="C137" s="195" t="n">
        <f aca="false">Theory_Rev!C47</f>
        <v>18.6899868774826</v>
      </c>
      <c r="D137" s="195" t="n">
        <f aca="false">Theory_Rev!D47</f>
        <v>18.6899868774826</v>
      </c>
      <c r="E137" s="195" t="n">
        <f aca="false">Theory_Rev!E47</f>
        <v>18.6899868774826</v>
      </c>
      <c r="F137" s="195" t="n">
        <f aca="false">Theory_Rev!F47</f>
        <v>96.6283848132214</v>
      </c>
      <c r="G137" s="195" t="n">
        <f aca="false">Theory_Rev!G47</f>
        <v>96.6283848132214</v>
      </c>
      <c r="H137" s="195" t="n">
        <f aca="false">Theory_Rev!H47</f>
        <v>96.6283848132214</v>
      </c>
      <c r="I137" s="195" t="n">
        <f aca="false">Theory_Rev!I47</f>
        <v>116.841337205439</v>
      </c>
      <c r="J137" s="195" t="n">
        <f aca="false">Theory_Rev!J47</f>
        <v>116.841337205439</v>
      </c>
      <c r="K137" s="195" t="n">
        <f aca="false">Theory_Rev!K47</f>
        <v>116.841337205439</v>
      </c>
      <c r="L137" s="195" t="n">
        <f aca="false">Theory_Rev!L47</f>
        <v>246.697456312585</v>
      </c>
      <c r="M137" s="195" t="n">
        <f aca="false">Theory_Rev!M47</f>
        <v>246.697456312585</v>
      </c>
      <c r="N137" s="195" t="n">
        <f aca="false">Theory_Rev!N47</f>
        <v>246.697456312585</v>
      </c>
      <c r="O137" s="195" t="n">
        <f aca="false">Theory_Rev!O47</f>
        <v>358.71180915499</v>
      </c>
      <c r="P137" s="195" t="n">
        <f aca="false">Theory_Rev!P47</f>
        <v>358.71180915499</v>
      </c>
      <c r="Q137" s="195" t="n">
        <f aca="false">Theory_Rev!Q47</f>
        <v>358.71180915499</v>
      </c>
      <c r="R137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2414</v>
      </c>
      <c r="U137" s="41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2" t="s">
        <v>2479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1" t="s">
        <v>2516</v>
      </c>
      <c r="B138" s="28" t="s">
        <v>1796</v>
      </c>
      <c r="C138" s="186" t="n">
        <f aca="false">Theory_Rev!C48</f>
        <v>18.0077196573975</v>
      </c>
      <c r="D138" s="186" t="n">
        <f aca="false">Theory_Rev!D48</f>
        <v>18.0077196573975</v>
      </c>
      <c r="E138" s="186" t="n">
        <f aca="false">Theory_Rev!E48</f>
        <v>18.0077196573975</v>
      </c>
      <c r="F138" s="186" t="n">
        <f aca="false">Theory_Rev!F48</f>
        <v>93.101021208314</v>
      </c>
      <c r="G138" s="186" t="n">
        <f aca="false">Theory_Rev!G48</f>
        <v>93.101021208314</v>
      </c>
      <c r="H138" s="186" t="n">
        <f aca="false">Theory_Rev!H48</f>
        <v>93.101021208314</v>
      </c>
      <c r="I138" s="186" t="n">
        <f aca="false">Theory_Rev!I48</f>
        <v>112.576111400374</v>
      </c>
      <c r="J138" s="186" t="n">
        <f aca="false">Theory_Rev!J48</f>
        <v>112.576111400374</v>
      </c>
      <c r="K138" s="186" t="n">
        <f aca="false">Theory_Rev!K48</f>
        <v>112.576111400374</v>
      </c>
      <c r="L138" s="186" t="n">
        <f aca="false">Theory_Rev!L48</f>
        <v>237.691907575511</v>
      </c>
      <c r="M138" s="186" t="n">
        <f aca="false">Theory_Rev!M48</f>
        <v>237.691907575511</v>
      </c>
      <c r="N138" s="186" t="n">
        <f aca="false">Theory_Rev!N48</f>
        <v>237.691907575511</v>
      </c>
      <c r="O138" s="186" t="n">
        <f aca="false">Theory_Rev!O48</f>
        <v>345.617240900439</v>
      </c>
      <c r="P138" s="186" t="n">
        <f aca="false">Theory_Rev!P48</f>
        <v>345.617240900439</v>
      </c>
      <c r="Q138" s="186" t="n">
        <f aca="false">Theory_Rev!Q48</f>
        <v>345.617240900439</v>
      </c>
      <c r="R13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2414</v>
      </c>
      <c r="U138" s="41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2" t="s">
        <v>2481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2517</v>
      </c>
    </row>
    <row r="140" customFormat="false" ht="15" hidden="false" customHeight="true" outlineLevel="0" collapsed="false">
      <c r="A140" s="41" t="s">
        <v>2518</v>
      </c>
      <c r="B140" s="28" t="s">
        <v>1796</v>
      </c>
      <c r="C140" s="197" t="n">
        <f aca="false">Theory_Rev!C64</f>
        <v>0.0656538975388793</v>
      </c>
      <c r="D140" s="197" t="n">
        <f aca="false">Theory_Rev!D64</f>
        <v>0.0656538975388793</v>
      </c>
      <c r="E140" s="197" t="n">
        <f aca="false">Theory_Rev!E64</f>
        <v>0.0656538975388793</v>
      </c>
      <c r="F140" s="197" t="n">
        <f aca="false">Theory_Rev!F64</f>
        <v>0.330731407559226</v>
      </c>
      <c r="G140" s="197" t="n">
        <f aca="false">Theory_Rev!G64</f>
        <v>0.330731407559226</v>
      </c>
      <c r="H140" s="197" t="n">
        <f aca="false">Theory_Rev!H64</f>
        <v>0.330731407559226</v>
      </c>
      <c r="I140" s="197" t="n">
        <f aca="false">Theory_Rev!I64</f>
        <v>0.430577634420929</v>
      </c>
      <c r="J140" s="197" t="n">
        <f aca="false">Theory_Rev!J64</f>
        <v>0.430577634420929</v>
      </c>
      <c r="K140" s="197" t="n">
        <f aca="false">Theory_Rev!K64</f>
        <v>0.430577634420929</v>
      </c>
      <c r="L140" s="197" t="n">
        <f aca="false">Theory_Rev!L64</f>
        <v>0.798749212524483</v>
      </c>
      <c r="M140" s="197" t="n">
        <f aca="false">Theory_Rev!M64</f>
        <v>0.798749212524483</v>
      </c>
      <c r="N140" s="197" t="n">
        <f aca="false">Theory_Rev!N64</f>
        <v>0.798749212524483</v>
      </c>
      <c r="O140" s="197" t="n">
        <f aca="false">Theory_Rev!O64</f>
        <v>1.12996107729852</v>
      </c>
      <c r="P140" s="197" t="n">
        <f aca="false">Theory_Rev!P64</f>
        <v>1.12996107729852</v>
      </c>
      <c r="Q140" s="197" t="n">
        <f aca="false">Theory_Rev!Q64</f>
        <v>1.12996107729852</v>
      </c>
      <c r="R140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2414</v>
      </c>
      <c r="U140" s="41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2" t="s">
        <v>2519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1" t="s">
        <v>2520</v>
      </c>
      <c r="B141" s="28" t="s">
        <v>1796</v>
      </c>
      <c r="C141" s="197" t="n">
        <f aca="false">Theory_Rev!C65</f>
        <v>1.47721269462479</v>
      </c>
      <c r="D141" s="197" t="n">
        <f aca="false">Theory_Rev!D65</f>
        <v>1.47721269462479</v>
      </c>
      <c r="E141" s="197" t="n">
        <f aca="false">Theory_Rev!E65</f>
        <v>1.47721269462479</v>
      </c>
      <c r="F141" s="197" t="n">
        <f aca="false">Theory_Rev!F65</f>
        <v>7.44145667008259</v>
      </c>
      <c r="G141" s="197" t="n">
        <f aca="false">Theory_Rev!G65</f>
        <v>7.44145667008259</v>
      </c>
      <c r="H141" s="197" t="n">
        <f aca="false">Theory_Rev!H65</f>
        <v>7.44145667008259</v>
      </c>
      <c r="I141" s="197" t="n">
        <f aca="false">Theory_Rev!I65</f>
        <v>9.6879967744709</v>
      </c>
      <c r="J141" s="197" t="n">
        <f aca="false">Theory_Rev!J65</f>
        <v>9.6879967744709</v>
      </c>
      <c r="K141" s="197" t="n">
        <f aca="false">Theory_Rev!K65</f>
        <v>9.6879967744709</v>
      </c>
      <c r="L141" s="197" t="n">
        <f aca="false">Theory_Rev!L65</f>
        <v>17.9718572818009</v>
      </c>
      <c r="M141" s="197" t="n">
        <f aca="false">Theory_Rev!M65</f>
        <v>17.9718572818009</v>
      </c>
      <c r="N141" s="197" t="n">
        <f aca="false">Theory_Rev!N65</f>
        <v>17.9718572818009</v>
      </c>
      <c r="O141" s="197" t="n">
        <f aca="false">Theory_Rev!O65</f>
        <v>25.4241242392166</v>
      </c>
      <c r="P141" s="197" t="n">
        <f aca="false">Theory_Rev!P65</f>
        <v>25.4241242392166</v>
      </c>
      <c r="Q141" s="197" t="n">
        <f aca="false">Theory_Rev!Q65</f>
        <v>25.4241242392166</v>
      </c>
      <c r="R141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2414</v>
      </c>
      <c r="U141" s="41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2" t="s">
        <v>2519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1" t="s">
        <v>2521</v>
      </c>
      <c r="B142" s="28" t="s">
        <v>1796</v>
      </c>
      <c r="C142" s="197" t="n">
        <f aca="false">Theory_Rev!C66</f>
        <v>2.46202115770797</v>
      </c>
      <c r="D142" s="197" t="n">
        <f aca="false">Theory_Rev!D66</f>
        <v>2.46202115770797</v>
      </c>
      <c r="E142" s="197" t="n">
        <f aca="false">Theory_Rev!E66</f>
        <v>2.46202115770797</v>
      </c>
      <c r="F142" s="197" t="n">
        <f aca="false">Theory_Rev!F66</f>
        <v>12.402427783471</v>
      </c>
      <c r="G142" s="197" t="n">
        <f aca="false">Theory_Rev!G66</f>
        <v>12.402427783471</v>
      </c>
      <c r="H142" s="197" t="n">
        <f aca="false">Theory_Rev!H66</f>
        <v>12.402427783471</v>
      </c>
      <c r="I142" s="197" t="n">
        <f aca="false">Theory_Rev!I66</f>
        <v>16.1466612907848</v>
      </c>
      <c r="J142" s="197" t="n">
        <f aca="false">Theory_Rev!J66</f>
        <v>16.1466612907848</v>
      </c>
      <c r="K142" s="197" t="n">
        <f aca="false">Theory_Rev!K66</f>
        <v>16.1466612907848</v>
      </c>
      <c r="L142" s="197" t="n">
        <f aca="false">Theory_Rev!L66</f>
        <v>29.9530954696681</v>
      </c>
      <c r="M142" s="197" t="n">
        <f aca="false">Theory_Rev!M66</f>
        <v>29.9530954696681</v>
      </c>
      <c r="N142" s="197" t="n">
        <f aca="false">Theory_Rev!N66</f>
        <v>29.9530954696681</v>
      </c>
      <c r="O142" s="197" t="n">
        <f aca="false">Theory_Rev!O66</f>
        <v>42.3735403986943</v>
      </c>
      <c r="P142" s="197" t="n">
        <f aca="false">Theory_Rev!P66</f>
        <v>42.3735403986943</v>
      </c>
      <c r="Q142" s="197" t="n">
        <f aca="false">Theory_Rev!Q66</f>
        <v>42.3735403986943</v>
      </c>
      <c r="R142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2414</v>
      </c>
      <c r="U142" s="41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2" t="s">
        <v>2519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1" t="s">
        <v>2522</v>
      </c>
      <c r="B143" s="28" t="s">
        <v>1796</v>
      </c>
      <c r="C143" s="195" t="n">
        <f aca="false">Theory_Rev!C67</f>
        <v>4.00488774987164</v>
      </c>
      <c r="D143" s="195" t="n">
        <f aca="false">Theory_Rev!D67</f>
        <v>4.00488774987164</v>
      </c>
      <c r="E143" s="195" t="n">
        <f aca="false">Theory_Rev!E67</f>
        <v>4.00488774987164</v>
      </c>
      <c r="F143" s="195" t="n">
        <f aca="false">Theory_Rev!F67</f>
        <v>20.1746158611128</v>
      </c>
      <c r="G143" s="195" t="n">
        <f aca="false">Theory_Rev!G67</f>
        <v>20.1746158611128</v>
      </c>
      <c r="H143" s="195" t="n">
        <f aca="false">Theory_Rev!H67</f>
        <v>20.1746158611128</v>
      </c>
      <c r="I143" s="195" t="n">
        <f aca="false">Theory_Rev!I67</f>
        <v>26.2652356996766</v>
      </c>
      <c r="J143" s="195" t="n">
        <f aca="false">Theory_Rev!J67</f>
        <v>26.2652356996766</v>
      </c>
      <c r="K143" s="195" t="n">
        <f aca="false">Theory_Rev!K67</f>
        <v>26.2652356996766</v>
      </c>
      <c r="L143" s="195" t="n">
        <f aca="false">Theory_Rev!L67</f>
        <v>48.7237019639935</v>
      </c>
      <c r="M143" s="195" t="n">
        <f aca="false">Theory_Rev!M67</f>
        <v>48.7237019639935</v>
      </c>
      <c r="N143" s="195" t="n">
        <f aca="false">Theory_Rev!N67</f>
        <v>48.7237019639935</v>
      </c>
      <c r="O143" s="195" t="n">
        <f aca="false">Theory_Rev!O67</f>
        <v>68.9276257152094</v>
      </c>
      <c r="P143" s="195" t="n">
        <f aca="false">Theory_Rev!P67</f>
        <v>68.9276257152094</v>
      </c>
      <c r="Q143" s="195" t="n">
        <f aca="false">Theory_Rev!Q67</f>
        <v>68.9276257152094</v>
      </c>
      <c r="R14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2414</v>
      </c>
      <c r="U143" s="41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2" t="s">
        <v>2519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1" t="s">
        <v>2523</v>
      </c>
      <c r="B144" s="28" t="s">
        <v>1796</v>
      </c>
      <c r="C144" s="197" t="n">
        <f aca="false">Theory_Rev!C68</f>
        <v>0.0656538975388793</v>
      </c>
      <c r="D144" s="197" t="n">
        <f aca="false">Theory_Rev!D68</f>
        <v>0.0656538975388793</v>
      </c>
      <c r="E144" s="197" t="n">
        <f aca="false">Theory_Rev!E68</f>
        <v>0.0656538975388793</v>
      </c>
      <c r="F144" s="197" t="n">
        <f aca="false">Theory_Rev!F68</f>
        <v>0.330731407559226</v>
      </c>
      <c r="G144" s="197" t="n">
        <f aca="false">Theory_Rev!G68</f>
        <v>0.330731407559226</v>
      </c>
      <c r="H144" s="197" t="n">
        <f aca="false">Theory_Rev!H68</f>
        <v>0.330731407559226</v>
      </c>
      <c r="I144" s="197" t="n">
        <f aca="false">Theory_Rev!I68</f>
        <v>0.430577634420929</v>
      </c>
      <c r="J144" s="197" t="n">
        <f aca="false">Theory_Rev!J68</f>
        <v>0.430577634420929</v>
      </c>
      <c r="K144" s="197" t="n">
        <f aca="false">Theory_Rev!K68</f>
        <v>0.430577634420929</v>
      </c>
      <c r="L144" s="197" t="n">
        <f aca="false">Theory_Rev!L68</f>
        <v>0.798749212524483</v>
      </c>
      <c r="M144" s="197" t="n">
        <f aca="false">Theory_Rev!M68</f>
        <v>0.798749212524483</v>
      </c>
      <c r="N144" s="197" t="n">
        <f aca="false">Theory_Rev!N68</f>
        <v>0.798749212524483</v>
      </c>
      <c r="O144" s="197" t="n">
        <f aca="false">Theory_Rev!O68</f>
        <v>1.12996107729852</v>
      </c>
      <c r="P144" s="197" t="n">
        <f aca="false">Theory_Rev!P68</f>
        <v>1.12996107729852</v>
      </c>
      <c r="Q144" s="197" t="n">
        <f aca="false">Theory_Rev!Q68</f>
        <v>1.12996107729852</v>
      </c>
      <c r="R14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2414</v>
      </c>
      <c r="U144" s="41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2" t="s">
        <v>2524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1" t="s">
        <v>2525</v>
      </c>
      <c r="B145" s="28" t="s">
        <v>1796</v>
      </c>
      <c r="C145" s="197" t="n">
        <f aca="false">Theory_Rev!C69</f>
        <v>1.47721269462478</v>
      </c>
      <c r="D145" s="197" t="n">
        <f aca="false">Theory_Rev!D69</f>
        <v>1.47721269462478</v>
      </c>
      <c r="E145" s="197" t="n">
        <f aca="false">Theory_Rev!E69</f>
        <v>1.47721269462478</v>
      </c>
      <c r="F145" s="197" t="n">
        <f aca="false">Theory_Rev!F69</f>
        <v>7.44145667008259</v>
      </c>
      <c r="G145" s="197" t="n">
        <f aca="false">Theory_Rev!G69</f>
        <v>7.44145667008259</v>
      </c>
      <c r="H145" s="197" t="n">
        <f aca="false">Theory_Rev!H69</f>
        <v>7.44145667008259</v>
      </c>
      <c r="I145" s="197" t="n">
        <f aca="false">Theory_Rev!I69</f>
        <v>9.68799677447089</v>
      </c>
      <c r="J145" s="197" t="n">
        <f aca="false">Theory_Rev!J69</f>
        <v>9.68799677447089</v>
      </c>
      <c r="K145" s="197" t="n">
        <f aca="false">Theory_Rev!K69</f>
        <v>9.68799677447089</v>
      </c>
      <c r="L145" s="197" t="n">
        <f aca="false">Theory_Rev!L69</f>
        <v>17.9718572818009</v>
      </c>
      <c r="M145" s="197" t="n">
        <f aca="false">Theory_Rev!M69</f>
        <v>17.9718572818009</v>
      </c>
      <c r="N145" s="197" t="n">
        <f aca="false">Theory_Rev!N69</f>
        <v>17.9718572818009</v>
      </c>
      <c r="O145" s="197" t="n">
        <f aca="false">Theory_Rev!O69</f>
        <v>25.4241242392166</v>
      </c>
      <c r="P145" s="197" t="n">
        <f aca="false">Theory_Rev!P69</f>
        <v>25.4241242392166</v>
      </c>
      <c r="Q145" s="197" t="n">
        <f aca="false">Theory_Rev!Q69</f>
        <v>25.4241242392166</v>
      </c>
      <c r="R145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2414</v>
      </c>
      <c r="U145" s="41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2" t="s">
        <v>2524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1" t="s">
        <v>2526</v>
      </c>
      <c r="B146" s="28" t="s">
        <v>1796</v>
      </c>
      <c r="C146" s="197" t="n">
        <f aca="false">Theory_Rev!C70</f>
        <v>2.37214649155271</v>
      </c>
      <c r="D146" s="197" t="n">
        <f aca="false">Theory_Rev!D70</f>
        <v>2.37214649155271</v>
      </c>
      <c r="E146" s="197" t="n">
        <f aca="false">Theory_Rev!E70</f>
        <v>2.37214649155271</v>
      </c>
      <c r="F146" s="197" t="n">
        <f aca="false">Theory_Rev!F70</f>
        <v>11.9496842913752</v>
      </c>
      <c r="G146" s="197" t="n">
        <f aca="false">Theory_Rev!G70</f>
        <v>11.9496842913752</v>
      </c>
      <c r="H146" s="197" t="n">
        <f aca="false">Theory_Rev!H70</f>
        <v>11.9496842913752</v>
      </c>
      <c r="I146" s="197" t="n">
        <f aca="false">Theory_Rev!I70</f>
        <v>15.5572367082672</v>
      </c>
      <c r="J146" s="197" t="n">
        <f aca="false">Theory_Rev!J70</f>
        <v>15.5572367082672</v>
      </c>
      <c r="K146" s="197" t="n">
        <f aca="false">Theory_Rev!K70</f>
        <v>15.5572367082672</v>
      </c>
      <c r="L146" s="197" t="n">
        <f aca="false">Theory_Rev!L70</f>
        <v>28.8596749492046</v>
      </c>
      <c r="M146" s="197" t="n">
        <f aca="false">Theory_Rev!M70</f>
        <v>28.8596749492046</v>
      </c>
      <c r="N146" s="197" t="n">
        <f aca="false">Theory_Rev!N70</f>
        <v>28.8596749492046</v>
      </c>
      <c r="O146" s="197" t="n">
        <f aca="false">Theory_Rev!O70</f>
        <v>40.8267186806004</v>
      </c>
      <c r="P146" s="197" t="n">
        <f aca="false">Theory_Rev!P70</f>
        <v>40.8267186806004</v>
      </c>
      <c r="Q146" s="197" t="n">
        <f aca="false">Theory_Rev!Q70</f>
        <v>40.8267186806004</v>
      </c>
      <c r="R146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2414</v>
      </c>
      <c r="U146" s="41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2" t="s">
        <v>2524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1" t="s">
        <v>2527</v>
      </c>
      <c r="B147" s="28" t="s">
        <v>1796</v>
      </c>
      <c r="C147" s="195" t="n">
        <f aca="false">Theory_Rev!C71</f>
        <v>3.91501308371637</v>
      </c>
      <c r="D147" s="195" t="n">
        <f aca="false">Theory_Rev!D71</f>
        <v>3.91501308371637</v>
      </c>
      <c r="E147" s="195" t="n">
        <f aca="false">Theory_Rev!E71</f>
        <v>3.91501308371637</v>
      </c>
      <c r="F147" s="195" t="n">
        <f aca="false">Theory_Rev!F71</f>
        <v>19.7218723690171</v>
      </c>
      <c r="G147" s="195" t="n">
        <f aca="false">Theory_Rev!G71</f>
        <v>19.7218723690171</v>
      </c>
      <c r="H147" s="195" t="n">
        <f aca="false">Theory_Rev!H71</f>
        <v>19.7218723690171</v>
      </c>
      <c r="I147" s="195" t="n">
        <f aca="false">Theory_Rev!I71</f>
        <v>25.6758111171591</v>
      </c>
      <c r="J147" s="195" t="n">
        <f aca="false">Theory_Rev!J71</f>
        <v>25.6758111171591</v>
      </c>
      <c r="K147" s="195" t="n">
        <f aca="false">Theory_Rev!K71</f>
        <v>25.6758111171591</v>
      </c>
      <c r="L147" s="195" t="n">
        <f aca="false">Theory_Rev!L71</f>
        <v>47.6302814435299</v>
      </c>
      <c r="M147" s="195" t="n">
        <f aca="false">Theory_Rev!M71</f>
        <v>47.6302814435299</v>
      </c>
      <c r="N147" s="195" t="n">
        <f aca="false">Theory_Rev!N71</f>
        <v>47.6302814435299</v>
      </c>
      <c r="O147" s="195" t="n">
        <f aca="false">Theory_Rev!O71</f>
        <v>67.3808039971155</v>
      </c>
      <c r="P147" s="195" t="n">
        <f aca="false">Theory_Rev!P71</f>
        <v>67.3808039971155</v>
      </c>
      <c r="Q147" s="195" t="n">
        <f aca="false">Theory_Rev!Q71</f>
        <v>67.3808039971155</v>
      </c>
      <c r="R147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2414</v>
      </c>
      <c r="U147" s="41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2" t="s">
        <v>2524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1" t="s">
        <v>2528</v>
      </c>
      <c r="B148" s="28" t="s">
        <v>93</v>
      </c>
      <c r="C148" s="198" t="n">
        <f aca="false">B4_Serve</f>
        <v>0.41</v>
      </c>
      <c r="R148" s="175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28" t="s">
        <v>608</v>
      </c>
      <c r="U148" s="41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2" t="s">
        <v>2529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1" t="s">
        <v>2530</v>
      </c>
      <c r="B149" s="28" t="s">
        <v>93</v>
      </c>
      <c r="C149" s="198" t="n">
        <f aca="false">B4_Free</f>
        <v>0.46</v>
      </c>
      <c r="R149" s="175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28" t="s">
        <v>608</v>
      </c>
      <c r="U149" s="41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2" t="s">
        <v>2531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0" t="s">
        <v>2532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2533</v>
      </c>
      <c r="C152" s="163" t="str">
        <f aca="false">Workload!C4</f>
        <v>一般聊天</v>
      </c>
      <c r="D152" s="163" t="str">
        <f aca="false">Workload!D4</f>
        <v>推理聊天</v>
      </c>
      <c r="E152" s="163" t="str">
        <f aca="false">Workload!E4</f>
        <v>單代理（工具迴圈）</v>
      </c>
      <c r="F152" s="163" t="str">
        <f aca="false">Workload!F4</f>
        <v>多代理研究</v>
      </c>
      <c r="G152" s="163" t="str">
        <f aca="false">Workload!G4</f>
        <v>Coding agent（長程）</v>
      </c>
      <c r="R152" s="52" t="s">
        <v>2534</v>
      </c>
      <c r="S152" s="28" t="s">
        <v>608</v>
      </c>
      <c r="T152" s="28" t="s">
        <v>608</v>
      </c>
      <c r="U152" s="28" t="s">
        <v>608</v>
      </c>
    </row>
    <row r="153" customFormat="false" ht="15" hidden="false" customHeight="true" outlineLevel="0" collapsed="false">
      <c r="A153" s="28" t="s">
        <v>2535</v>
      </c>
      <c r="B153" s="28" t="s">
        <v>97</v>
      </c>
      <c r="C153" s="199" t="n">
        <f aca="false">B5_W</f>
        <v>0</v>
      </c>
      <c r="R153" s="175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28" t="s">
        <v>608</v>
      </c>
      <c r="U153" s="41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2" t="s">
        <v>2536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1" t="s">
        <v>2537</v>
      </c>
      <c r="B154" s="41"/>
      <c r="C154" s="41" t="str">
        <f aca="false">B5_ProfileName</f>
        <v>供應商原生增強（保留推理狀態＋上下文壓縮）</v>
      </c>
      <c r="R154" s="175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28" t="s">
        <v>608</v>
      </c>
      <c r="U154" s="41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2" t="s">
        <v>2451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1" t="s">
        <v>2538</v>
      </c>
      <c r="B155" s="28" t="s">
        <v>1150</v>
      </c>
      <c r="C155" s="199" t="n">
        <f aca="false">INDEX(B5_TaskLen,1,1)</f>
        <v>0.02</v>
      </c>
      <c r="D155" s="199" t="n">
        <f aca="false">INDEX(B5_TaskLen,1,2)</f>
        <v>0.1</v>
      </c>
      <c r="E155" s="199" t="n">
        <f aca="false">INDEX(B5_TaskLen,1,3)</f>
        <v>0.5</v>
      </c>
      <c r="F155" s="199" t="n">
        <f aca="false">INDEX(B5_TaskLen,1,4)</f>
        <v>2</v>
      </c>
      <c r="G155" s="199" t="n">
        <f aca="false">INDEX(B5_TaskLen,1,5)</f>
        <v>8</v>
      </c>
      <c r="R155" s="175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28" t="s">
        <v>608</v>
      </c>
      <c r="U155" s="41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2" t="s">
        <v>2451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1" t="s">
        <v>2539</v>
      </c>
      <c r="B156" s="28" t="s">
        <v>279</v>
      </c>
      <c r="C156" s="46" t="n">
        <f aca="false">Harness!C41</f>
        <v>1500</v>
      </c>
      <c r="D156" s="46" t="n">
        <f aca="false">Harness!D41</f>
        <v>1500</v>
      </c>
      <c r="E156" s="46" t="n">
        <f aca="false">Harness!E41</f>
        <v>6840</v>
      </c>
      <c r="F156" s="46" t="n">
        <f aca="false">Harness!F41</f>
        <v>27360</v>
      </c>
      <c r="G156" s="46" t="n">
        <f aca="false">Harness!G41</f>
        <v>200400</v>
      </c>
      <c r="R156" s="175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28" t="s">
        <v>608</v>
      </c>
      <c r="U156" s="41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MAX(Gov_Map!$AJ$255:$AJ$304,Gov_Map!$AJ$483,Gov_Map!$AJ$485:$AJ$490,Gov_Map!$AJ$494:$AJ$498,Gov_Map!$AJ$502,Gov_Map!$AJ$521:$AJ$522)</f>
        <v>0</v>
      </c>
      <c r="W156" s="52" t="s">
        <v>2540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1" t="s">
        <v>2541</v>
      </c>
      <c r="B157" s="28" t="s">
        <v>279</v>
      </c>
      <c r="C157" s="46" t="n">
        <f aca="false">Harness!C42</f>
        <v>1000</v>
      </c>
      <c r="D157" s="46" t="n">
        <f aca="false">Harness!D42</f>
        <v>1000</v>
      </c>
      <c r="E157" s="46" t="n">
        <f aca="false">Harness!E42</f>
        <v>18360</v>
      </c>
      <c r="F157" s="46" t="n">
        <f aca="false">Harness!F42</f>
        <v>73440</v>
      </c>
      <c r="G157" s="46" t="n">
        <f aca="false">Harness!G42</f>
        <v>1263600</v>
      </c>
      <c r="R157" s="175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28" t="s">
        <v>608</v>
      </c>
      <c r="U157" s="41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MAX(Gov_Map!$AJ$255:$AJ$304,Gov_Map!$AJ$483,Gov_Map!$AJ$485:$AJ$490,Gov_Map!$AJ$494:$AJ$498,Gov_Map!$AJ$502,Gov_Map!$AJ$521:$AJ$522)</f>
        <v>0</v>
      </c>
      <c r="W157" s="52" t="s">
        <v>2540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1" t="s">
        <v>2542</v>
      </c>
      <c r="B158" s="28" t="s">
        <v>279</v>
      </c>
      <c r="C158" s="46" t="n">
        <f aca="false">Harness!C43</f>
        <v>500</v>
      </c>
      <c r="D158" s="46" t="n">
        <f aca="false">Harness!D43</f>
        <v>3700</v>
      </c>
      <c r="E158" s="46" t="n">
        <f aca="false">Harness!E43</f>
        <v>2400</v>
      </c>
      <c r="F158" s="46" t="n">
        <f aca="false">Harness!F43</f>
        <v>9600</v>
      </c>
      <c r="G158" s="46" t="n">
        <f aca="false">Harness!G43</f>
        <v>30000</v>
      </c>
      <c r="R158" s="175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28" t="s">
        <v>608</v>
      </c>
      <c r="U158" s="41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2" t="s">
        <v>2543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1" t="s">
        <v>2544</v>
      </c>
      <c r="B159" s="28" t="s">
        <v>279</v>
      </c>
      <c r="C159" s="46" t="n">
        <f aca="false">Harness!C38</f>
        <v>3000</v>
      </c>
      <c r="D159" s="46" t="n">
        <f aca="false">Harness!D38</f>
        <v>6200</v>
      </c>
      <c r="E159" s="46" t="n">
        <f aca="false">Harness!E38</f>
        <v>16250.08</v>
      </c>
      <c r="F159" s="46" t="n">
        <f aca="false">Harness!F38</f>
        <v>65000.32</v>
      </c>
      <c r="G159" s="46" t="n">
        <f aca="false">Harness!G38</f>
        <v>735840</v>
      </c>
      <c r="R159" s="175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28" t="s">
        <v>608</v>
      </c>
      <c r="U159" s="41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2" t="s">
        <v>2545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1" t="s">
        <v>2546</v>
      </c>
      <c r="B160" s="28" t="s">
        <v>97</v>
      </c>
      <c r="C160" s="183" t="n">
        <f aca="false">Harness!C45</f>
        <v>1</v>
      </c>
      <c r="D160" s="183" t="n">
        <f aca="false">Harness!D45</f>
        <v>1</v>
      </c>
      <c r="E160" s="183" t="n">
        <f aca="false">Harness!E45</f>
        <v>0.588771014492754</v>
      </c>
      <c r="F160" s="183" t="n">
        <f aca="false">Harness!F45</f>
        <v>0.588771014492754</v>
      </c>
      <c r="G160" s="183" t="n">
        <f aca="false">Harness!G45</f>
        <v>0.492530120481928</v>
      </c>
      <c r="R160" s="175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28" t="s">
        <v>608</v>
      </c>
      <c r="U160" s="41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MAX(Gov_Map!$AJ$255:$AJ$304,Gov_Map!$AJ$483,Gov_Map!$AJ$485:$AJ$490,Gov_Map!$AJ$494:$AJ$498,Gov_Map!$AJ$502)</f>
        <v>0</v>
      </c>
      <c r="W160" s="52" t="s">
        <v>2547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249</v>
      </c>
    </row>
    <row r="162" customFormat="false" ht="15" hidden="false" customHeight="true" outlineLevel="0" collapsed="false">
      <c r="A162" s="41" t="s">
        <v>2548</v>
      </c>
      <c r="B162" s="28" t="s">
        <v>93</v>
      </c>
      <c r="C162" s="187" t="n">
        <f aca="false">Harness!C57</f>
        <v>0.962243725044712</v>
      </c>
      <c r="D162" s="187" t="n">
        <f aca="false">Harness!D57</f>
        <v>0.884017511243649</v>
      </c>
      <c r="E162" s="187" t="n">
        <f aca="false">Harness!E57</f>
        <v>0.695076124968439</v>
      </c>
      <c r="F162" s="187" t="n">
        <f aca="false">Harness!F57</f>
        <v>0.446267899285204</v>
      </c>
      <c r="G162" s="187" t="n">
        <f aca="false">Harness!G57</f>
        <v>0.221752565013566</v>
      </c>
      <c r="R162" s="17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28" t="s">
        <v>608</v>
      </c>
      <c r="U162" s="41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2" t="s">
        <v>2549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1" t="s">
        <v>2550</v>
      </c>
      <c r="B163" s="28" t="s">
        <v>93</v>
      </c>
      <c r="C163" s="187" t="n">
        <f aca="false">Harness!C58</f>
        <v>0.962243725044712</v>
      </c>
      <c r="D163" s="187" t="n">
        <f aca="false">Harness!D58</f>
        <v>0.884017511243649</v>
      </c>
      <c r="E163" s="187" t="n">
        <f aca="false">Harness!E58</f>
        <v>0.723262011773013</v>
      </c>
      <c r="F163" s="187" t="n">
        <f aca="false">Harness!F58</f>
        <v>0.575444203093429</v>
      </c>
      <c r="G163" s="187" t="n">
        <f aca="false">Harness!G58</f>
        <v>0.323962245896112</v>
      </c>
      <c r="R163" s="17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28" t="s">
        <v>608</v>
      </c>
      <c r="U163" s="41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2" t="s">
        <v>2551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1" t="s">
        <v>2552</v>
      </c>
      <c r="B164" s="28" t="s">
        <v>423</v>
      </c>
      <c r="C164" s="200" t="n">
        <f aca="false">Harness!C88</f>
        <v>0.000102418941208421</v>
      </c>
      <c r="D164" s="200" t="n">
        <f aca="false">Harness!D88</f>
        <v>0.000736788526866689</v>
      </c>
      <c r="E164" s="200" t="n">
        <f aca="false">Harness!E88</f>
        <v>0.000677859629711026</v>
      </c>
      <c r="F164" s="200" t="n">
        <f aca="false">Harness!F88</f>
        <v>0.00422314977569979</v>
      </c>
      <c r="G164" s="200" t="n">
        <f aca="false">Harness!G88</f>
        <v>0.0310910558058847</v>
      </c>
      <c r="R164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28" t="s">
        <v>2414</v>
      </c>
      <c r="U164" s="41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2" t="s">
        <v>2553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1" t="s">
        <v>2554</v>
      </c>
      <c r="B165" s="28" t="s">
        <v>423</v>
      </c>
      <c r="C165" s="201" t="n">
        <f aca="false">Harness!C97</f>
        <v>0.000134816391831662</v>
      </c>
      <c r="D165" s="201" t="n">
        <f aca="false">Harness!D97</f>
        <v>0.000976510141922234</v>
      </c>
      <c r="E165" s="201" t="n">
        <f aca="false">Harness!E97</f>
        <v>0.000891554068947909</v>
      </c>
      <c r="F165" s="201" t="n">
        <f aca="false">Harness!F97</f>
        <v>0.00555449270213466</v>
      </c>
      <c r="G165" s="201" t="n">
        <f aca="false">Harness!G97</f>
        <v>0.0403522349522336</v>
      </c>
      <c r="R165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28" t="s">
        <v>608</v>
      </c>
      <c r="U165" s="41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2" t="s">
        <v>2555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1" t="s">
        <v>2556</v>
      </c>
      <c r="B166" s="28" t="s">
        <v>423</v>
      </c>
      <c r="C166" s="201" t="n">
        <f aca="false">Harness!C126</f>
        <v>0.000340869980715914</v>
      </c>
      <c r="D166" s="201" t="n">
        <f aca="false">Harness!D126</f>
        <v>0.00181896849275965</v>
      </c>
      <c r="E166" s="201" t="n">
        <f aca="false">Harness!E126</f>
        <v>0.00237971056778149</v>
      </c>
      <c r="F166" s="201" t="n">
        <f aca="false">Harness!F126</f>
        <v>0.0148258927218325</v>
      </c>
      <c r="G166" s="201" t="n">
        <f aca="false">Harness!G126</f>
        <v>0.171997108568582</v>
      </c>
      <c r="R166" s="17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28" t="s">
        <v>608</v>
      </c>
      <c r="U166" s="41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2" t="s">
        <v>2557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2558</v>
      </c>
      <c r="B167" s="28" t="s">
        <v>97</v>
      </c>
      <c r="C167" s="183" t="n">
        <f aca="false">Harness!C136</f>
        <v>1</v>
      </c>
      <c r="D167" s="183" t="n">
        <f aca="false">Harness!D136</f>
        <v>1</v>
      </c>
      <c r="E167" s="183" t="n">
        <f aca="false">Harness!E136</f>
        <v>0.590682621670942</v>
      </c>
      <c r="F167" s="183" t="n">
        <f aca="false">Harness!F136</f>
        <v>0.476661314845622</v>
      </c>
      <c r="G167" s="183" t="n">
        <f aca="false">Harness!G136</f>
        <v>0.41488270725697</v>
      </c>
      <c r="R167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28" t="s">
        <v>608</v>
      </c>
      <c r="U167" s="41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2" t="s">
        <v>2553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250</v>
      </c>
    </row>
    <row r="169" customFormat="false" ht="15" hidden="false" customHeight="true" outlineLevel="0" collapsed="false">
      <c r="A169" s="41" t="s">
        <v>2559</v>
      </c>
      <c r="B169" s="28" t="s">
        <v>93</v>
      </c>
      <c r="C169" s="187" t="n">
        <f aca="false">Harness!C60</f>
        <v>0.988943278022254</v>
      </c>
      <c r="D169" s="187" t="n">
        <f aca="false">Harness!D60</f>
        <v>0.963963460360214</v>
      </c>
      <c r="E169" s="187" t="n">
        <f aca="false">Harness!E60</f>
        <v>0.888888888888889</v>
      </c>
      <c r="F169" s="187" t="n">
        <f aca="false">Harness!F60</f>
        <v>0.738796125036259</v>
      </c>
      <c r="G169" s="187" t="n">
        <f aca="false">Harness!G60</f>
        <v>0.5</v>
      </c>
      <c r="R169" s="17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28" t="s">
        <v>608</v>
      </c>
      <c r="U169" s="41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2" t="s">
        <v>2549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1" t="s">
        <v>2560</v>
      </c>
      <c r="B170" s="28" t="s">
        <v>93</v>
      </c>
      <c r="C170" s="187" t="n">
        <f aca="false">Harness!C61</f>
        <v>0.988943278022254</v>
      </c>
      <c r="D170" s="187" t="n">
        <f aca="false">Harness!D61</f>
        <v>0.963963460360214</v>
      </c>
      <c r="E170" s="187" t="n">
        <f aca="false">Harness!E61</f>
        <v>0.901693340131513</v>
      </c>
      <c r="F170" s="187" t="n">
        <f aca="false">Harness!F61</f>
        <v>0.826293243415818</v>
      </c>
      <c r="G170" s="187" t="n">
        <f aca="false">Harness!G61</f>
        <v>0.627115119175411</v>
      </c>
      <c r="R170" s="17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28" t="s">
        <v>608</v>
      </c>
      <c r="U170" s="41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2" t="s">
        <v>2551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1" t="s">
        <v>2561</v>
      </c>
      <c r="B171" s="28" t="s">
        <v>423</v>
      </c>
      <c r="C171" s="200" t="n">
        <f aca="false">Harness!C91</f>
        <v>0.000320037803771877</v>
      </c>
      <c r="D171" s="200" t="n">
        <f aca="false">Harness!D91</f>
        <v>0.00215001015603622</v>
      </c>
      <c r="E171" s="200" t="n">
        <f aca="false">Harness!E91</f>
        <v>0.00169937973226251</v>
      </c>
      <c r="F171" s="200" t="n">
        <f aca="false">Harness!F91</f>
        <v>0.00817849315025566</v>
      </c>
      <c r="G171" s="200" t="n">
        <f aca="false">Harness!G91</f>
        <v>0.0444209347764536</v>
      </c>
      <c r="R171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28" t="s">
        <v>2414</v>
      </c>
      <c r="U171" s="41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2" t="s">
        <v>2553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1" t="s">
        <v>2562</v>
      </c>
      <c r="B172" s="28" t="s">
        <v>423</v>
      </c>
      <c r="C172" s="201" t="n">
        <f aca="false">Harness!C100</f>
        <v>0.000456557468166472</v>
      </c>
      <c r="D172" s="201" t="n">
        <f aca="false">Harness!D100</f>
        <v>0.00311845448138764</v>
      </c>
      <c r="E172" s="201" t="n">
        <f aca="false">Harness!E100</f>
        <v>0.00242503421880443</v>
      </c>
      <c r="F172" s="201" t="n">
        <f aca="false">Harness!F100</f>
        <v>0.0116708028059287</v>
      </c>
      <c r="G172" s="201" t="n">
        <f aca="false">Harness!G100</f>
        <v>0.0620367720769959</v>
      </c>
      <c r="R172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28" t="s">
        <v>608</v>
      </c>
      <c r="U172" s="41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2" t="s">
        <v>2555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1" t="s">
        <v>2563</v>
      </c>
      <c r="B173" s="28" t="s">
        <v>423</v>
      </c>
      <c r="C173" s="201" t="n">
        <f aca="false">Harness!C129</f>
        <v>0.00663334302966199</v>
      </c>
      <c r="D173" s="201" t="n">
        <f aca="false">Harness!D129</f>
        <v>0.0333622604201019</v>
      </c>
      <c r="E173" s="201" t="n">
        <f aca="false">Harness!E129</f>
        <v>0.0372168</v>
      </c>
      <c r="F173" s="201" t="n">
        <f aca="false">Harness!F129</f>
        <v>0.179110847385002</v>
      </c>
      <c r="G173" s="201" t="n">
        <f aca="false">Harness!G129</f>
        <v>1.525632</v>
      </c>
      <c r="R173" s="17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28" t="s">
        <v>608</v>
      </c>
      <c r="U173" s="41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2" t="s">
        <v>2557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2564</v>
      </c>
      <c r="B174" s="28" t="s">
        <v>97</v>
      </c>
      <c r="C174" s="183" t="n">
        <f aca="false">Harness!C137</f>
        <v>1</v>
      </c>
      <c r="D174" s="183" t="n">
        <f aca="false">Harness!D137</f>
        <v>1</v>
      </c>
      <c r="E174" s="183" t="n">
        <f aca="false">Harness!E137</f>
        <v>0.605351415659953</v>
      </c>
      <c r="F174" s="183" t="n">
        <f aca="false">Harness!F137</f>
        <v>0.549046786720249</v>
      </c>
      <c r="G174" s="183" t="n">
        <f aca="false">Harness!G137</f>
        <v>0.4793958062764</v>
      </c>
      <c r="R174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28" t="s">
        <v>608</v>
      </c>
      <c r="U174" s="41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2" t="s">
        <v>2553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251</v>
      </c>
    </row>
    <row r="176" customFormat="false" ht="15" hidden="false" customHeight="true" outlineLevel="0" collapsed="false">
      <c r="A176" s="41" t="s">
        <v>2565</v>
      </c>
      <c r="B176" s="28" t="s">
        <v>93</v>
      </c>
      <c r="C176" s="187" t="n">
        <f aca="false">Harness!C63</f>
        <v>0.993396032445753</v>
      </c>
      <c r="D176" s="187" t="n">
        <f aca="false">Harness!D63</f>
        <v>0.978254868861662</v>
      </c>
      <c r="E176" s="187" t="n">
        <f aca="false">Harness!E63</f>
        <v>0.930816639357101</v>
      </c>
      <c r="F176" s="187" t="n">
        <f aca="false">Harness!F63</f>
        <v>0.826293243415818</v>
      </c>
      <c r="G176" s="187" t="n">
        <f aca="false">Harness!G63</f>
        <v>0.627115119175411</v>
      </c>
      <c r="R176" s="17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28" t="s">
        <v>608</v>
      </c>
      <c r="U176" s="41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2" t="s">
        <v>2549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1" t="s">
        <v>2566</v>
      </c>
      <c r="B177" s="28" t="s">
        <v>93</v>
      </c>
      <c r="C177" s="187" t="n">
        <f aca="false">Harness!C64</f>
        <v>0.993396032445753</v>
      </c>
      <c r="D177" s="187" t="n">
        <f aca="false">Harness!D64</f>
        <v>0.978254868861662</v>
      </c>
      <c r="E177" s="187" t="n">
        <f aca="false">Harness!E64</f>
        <v>0.939120259663704</v>
      </c>
      <c r="F177" s="187" t="n">
        <f aca="false">Harness!F64</f>
        <v>0.888888888888889</v>
      </c>
      <c r="G177" s="187" t="n">
        <f aca="false">Harness!G64</f>
        <v>0.738796125036259</v>
      </c>
      <c r="R177" s="17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28" t="s">
        <v>608</v>
      </c>
      <c r="U177" s="41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2" t="s">
        <v>2551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1" t="s">
        <v>2567</v>
      </c>
      <c r="B178" s="28" t="s">
        <v>423</v>
      </c>
      <c r="C178" s="200" t="n">
        <f aca="false">Harness!C94</f>
        <v>0.00157160157133891</v>
      </c>
      <c r="D178" s="200" t="n">
        <f aca="false">Harness!D94</f>
        <v>0.0108878916138528</v>
      </c>
      <c r="E178" s="200" t="n">
        <f aca="false">Harness!E94</f>
        <v>0.00803749287272112</v>
      </c>
      <c r="F178" s="200" t="n">
        <f aca="false">Harness!F94</f>
        <v>0.03621683785633</v>
      </c>
      <c r="G178" s="200" t="n">
        <f aca="false">Harness!G94</f>
        <v>0.168703406327351</v>
      </c>
      <c r="R178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28" t="s">
        <v>2414</v>
      </c>
      <c r="U178" s="41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2" t="s">
        <v>2553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1" t="s">
        <v>2568</v>
      </c>
      <c r="B179" s="28" t="s">
        <v>423</v>
      </c>
      <c r="C179" s="201" t="n">
        <f aca="false">Harness!C103</f>
        <v>0.00310142651340531</v>
      </c>
      <c r="D179" s="201" t="n">
        <f aca="false">Harness!D103</f>
        <v>0.0221645926254829</v>
      </c>
      <c r="E179" s="201" t="n">
        <f aca="false">Harness!E103</f>
        <v>0.0158568743601987</v>
      </c>
      <c r="F179" s="201" t="n">
        <f aca="false">Harness!F103</f>
        <v>0.0714508686608747</v>
      </c>
      <c r="G179" s="201" t="n">
        <f aca="false">Harness!G103</f>
        <v>0.316964897900962</v>
      </c>
      <c r="R179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28" t="s">
        <v>608</v>
      </c>
      <c r="U179" s="41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2" t="s">
        <v>2555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1" t="s">
        <v>2569</v>
      </c>
      <c r="B180" s="28" t="s">
        <v>423</v>
      </c>
      <c r="C180" s="201" t="n">
        <f aca="false">Harness!C132</f>
        <v>0.0330180501317747</v>
      </c>
      <c r="D180" s="201" t="n">
        <f aca="false">Harness!D132</f>
        <v>0.164374341614178</v>
      </c>
      <c r="E180" s="201" t="n">
        <f aca="false">Harness!E132</f>
        <v>0.177702023154898</v>
      </c>
      <c r="F180" s="201" t="n">
        <f aca="false">Harness!F132</f>
        <v>0.800722994254286</v>
      </c>
      <c r="G180" s="201" t="n">
        <f aca="false">Harness!G132</f>
        <v>6.08194553659479</v>
      </c>
      <c r="R180" s="17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28" t="s">
        <v>608</v>
      </c>
      <c r="U180" s="41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2" t="s">
        <v>2557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2570</v>
      </c>
      <c r="B181" s="28" t="s">
        <v>97</v>
      </c>
      <c r="C181" s="183" t="n">
        <f aca="false">Harness!C138</f>
        <v>1</v>
      </c>
      <c r="D181" s="183" t="n">
        <f aca="false">Harness!D138</f>
        <v>1</v>
      </c>
      <c r="E181" s="183" t="n">
        <f aca="false">Harness!E138</f>
        <v>0.60811339243541</v>
      </c>
      <c r="F181" s="183" t="n">
        <f aca="false">Harness!F138</f>
        <v>0.570332819404675</v>
      </c>
      <c r="G181" s="183" t="n">
        <f aca="false">Harness!G138</f>
        <v>0.519797101771478</v>
      </c>
      <c r="R181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28" t="s">
        <v>608</v>
      </c>
      <c r="U181" s="41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2" t="s">
        <v>2553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2571</v>
      </c>
    </row>
    <row r="183" customFormat="false" ht="15" hidden="false" customHeight="true" outlineLevel="0" collapsed="false">
      <c r="A183" s="28" t="s">
        <v>2572</v>
      </c>
      <c r="B183" s="28" t="s">
        <v>423</v>
      </c>
      <c r="C183" s="201" t="n">
        <f aca="false">Harness!C68</f>
        <v>9.85519835035262E-005</v>
      </c>
      <c r="D183" s="201" t="n">
        <f aca="false">Harness!D68</f>
        <v>0.000651333959833564</v>
      </c>
      <c r="E183" s="201" t="n">
        <f aca="false">Harness!E68</f>
        <v>0.000471164044692081</v>
      </c>
      <c r="F183" s="201" t="n">
        <f aca="false">Harness!F68</f>
        <v>0.00188465617876833</v>
      </c>
      <c r="G183" s="201" t="n">
        <f aca="false">Harness!G68</f>
        <v>0.00689452137393487</v>
      </c>
      <c r="R183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28" t="s">
        <v>2414</v>
      </c>
      <c r="U183" s="41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2" t="s">
        <v>2573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2574</v>
      </c>
      <c r="B184" s="28" t="s">
        <v>1150</v>
      </c>
      <c r="C184" s="183" t="n">
        <f aca="false">Harness!C160</f>
        <v>1.5</v>
      </c>
      <c r="D184" s="183" t="n">
        <f aca="false">Harness!D160</f>
        <v>1.5</v>
      </c>
      <c r="E184" s="183" t="n">
        <f aca="false">Harness!E160</f>
        <v>1.5</v>
      </c>
      <c r="F184" s="183" t="n">
        <f aca="false">Harness!F160</f>
        <v>1.5</v>
      </c>
      <c r="G184" s="183" t="n">
        <f aca="false">Harness!G160</f>
        <v>1.5</v>
      </c>
      <c r="R184" s="17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28" t="s">
        <v>608</v>
      </c>
      <c r="U184" s="41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2" t="s">
        <v>2551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2575</v>
      </c>
      <c r="B185" s="28" t="s">
        <v>423</v>
      </c>
      <c r="C185" s="201" t="n">
        <f aca="false">Harness!C71</f>
        <v>0.000316499234753203</v>
      </c>
      <c r="D185" s="201" t="n">
        <f aca="false">Harness!D71</f>
        <v>0.00207253122982228</v>
      </c>
      <c r="E185" s="201" t="n">
        <f aca="false">Harness!E71</f>
        <v>0.00151055976201112</v>
      </c>
      <c r="F185" s="201" t="n">
        <f aca="false">Harness!F71</f>
        <v>0.00604223904804447</v>
      </c>
      <c r="G185" s="201" t="n">
        <f aca="false">Harness!G71</f>
        <v>0.0222104673882268</v>
      </c>
      <c r="R185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28" t="s">
        <v>2414</v>
      </c>
      <c r="U185" s="41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2" t="s">
        <v>2573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2576</v>
      </c>
      <c r="B186" s="28" t="s">
        <v>1150</v>
      </c>
      <c r="C186" s="183" t="n">
        <f aca="false">Harness!C161</f>
        <v>8</v>
      </c>
      <c r="D186" s="183" t="n">
        <f aca="false">Harness!D161</f>
        <v>8</v>
      </c>
      <c r="E186" s="183" t="n">
        <f aca="false">Harness!E161</f>
        <v>8</v>
      </c>
      <c r="F186" s="183" t="n">
        <f aca="false">Harness!F161</f>
        <v>8</v>
      </c>
      <c r="G186" s="183" t="n">
        <f aca="false">Harness!G161</f>
        <v>8</v>
      </c>
      <c r="R186" s="17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28" t="s">
        <v>608</v>
      </c>
      <c r="U186" s="41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2" t="s">
        <v>2551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2577</v>
      </c>
      <c r="B187" s="28" t="s">
        <v>423</v>
      </c>
      <c r="C187" s="201" t="n">
        <f aca="false">Harness!C74</f>
        <v>0.00156122276555359</v>
      </c>
      <c r="D187" s="201" t="n">
        <f aca="false">Harness!D74</f>
        <v>0.0106511329828895</v>
      </c>
      <c r="E187" s="201" t="n">
        <f aca="false">Harness!E74</f>
        <v>0.00748143210464292</v>
      </c>
      <c r="F187" s="201" t="n">
        <f aca="false">Harness!F74</f>
        <v>0.0299257284185717</v>
      </c>
      <c r="G187" s="201" t="n">
        <f aca="false">Harness!G74</f>
        <v>0.105796456764274</v>
      </c>
      <c r="R187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28" t="s">
        <v>2414</v>
      </c>
      <c r="U187" s="41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2" t="s">
        <v>2573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2578</v>
      </c>
      <c r="B188" s="28" t="s">
        <v>1150</v>
      </c>
      <c r="C188" s="183" t="n">
        <f aca="false">Harness!C162</f>
        <v>16</v>
      </c>
      <c r="D188" s="183" t="n">
        <f aca="false">Harness!D162</f>
        <v>16</v>
      </c>
      <c r="E188" s="183" t="n">
        <f aca="false">Harness!E162</f>
        <v>16</v>
      </c>
      <c r="F188" s="183" t="n">
        <f aca="false">Harness!F162</f>
        <v>16</v>
      </c>
      <c r="G188" s="183" t="n">
        <f aca="false">Harness!G162</f>
        <v>16</v>
      </c>
      <c r="R188" s="17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28" t="s">
        <v>608</v>
      </c>
      <c r="U188" s="41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2" t="s">
        <v>2551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1" t="s">
        <v>2579</v>
      </c>
      <c r="B189" s="28" t="s">
        <v>93</v>
      </c>
      <c r="C189" s="198" t="n">
        <f aca="false">B5_PFloor</f>
        <v>0.5</v>
      </c>
      <c r="R189" s="175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28" t="s">
        <v>608</v>
      </c>
      <c r="U189" s="41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2" t="s">
        <v>2451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1" t="s">
        <v>2580</v>
      </c>
      <c r="B190" s="28" t="s">
        <v>423</v>
      </c>
      <c r="C190" s="200" t="n">
        <f aca="false">Harness!C151</f>
        <v>0.000102418941208421</v>
      </c>
      <c r="D190" s="200" t="n">
        <f aca="false">Harness!D151</f>
        <v>0.000736788526866689</v>
      </c>
      <c r="E190" s="200" t="n">
        <f aca="false">Harness!E151</f>
        <v>0.000400399903202603</v>
      </c>
      <c r="F190" s="200" t="n">
        <f aca="false">Harness!F151</f>
        <v>0.00201301212487506</v>
      </c>
      <c r="G190" s="200" t="n">
        <f aca="false">Harness!G151</f>
        <v>0.0212952098427094</v>
      </c>
      <c r="R190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28" t="s">
        <v>608</v>
      </c>
      <c r="U190" s="41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2" t="s">
        <v>2581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1" t="s">
        <v>2582</v>
      </c>
      <c r="B191" s="41"/>
      <c r="C191" s="175" t="str">
        <f aca="false">Harness!C152</f>
        <v>Luna｜標準</v>
      </c>
      <c r="D191" s="175" t="str">
        <f aca="false">Harness!D152</f>
        <v>Luna｜標準</v>
      </c>
      <c r="E191" s="175" t="str">
        <f aca="false">Harness!E152</f>
        <v>Luna｜選定</v>
      </c>
      <c r="F191" s="175" t="str">
        <f aca="false">Harness!F152</f>
        <v>Luna｜選定</v>
      </c>
      <c r="G191" s="175" t="str">
        <f aca="false">Harness!G152</f>
        <v>Sol｜選定</v>
      </c>
      <c r="R191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28" t="s">
        <v>608</v>
      </c>
      <c r="U191" s="41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2" t="s">
        <v>2581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1" t="s">
        <v>2583</v>
      </c>
      <c r="B192" s="28" t="s">
        <v>93</v>
      </c>
      <c r="C192" s="187" t="n">
        <f aca="false">Harness!C153</f>
        <v>0.962243725044712</v>
      </c>
      <c r="D192" s="187" t="n">
        <f aca="false">Harness!D153</f>
        <v>0.884017511243649</v>
      </c>
      <c r="E192" s="187" t="n">
        <f aca="false">Harness!E153</f>
        <v>0.723262011773013</v>
      </c>
      <c r="F192" s="187" t="n">
        <f aca="false">Harness!F153</f>
        <v>0.575444203093429</v>
      </c>
      <c r="G192" s="187" t="n">
        <f aca="false">Harness!G153</f>
        <v>0.627115119175411</v>
      </c>
      <c r="R192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28" t="s">
        <v>608</v>
      </c>
      <c r="U192" s="41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2" t="s">
        <v>2581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0" t="s">
        <v>2584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2585</v>
      </c>
      <c r="B195" s="28" t="s">
        <v>93</v>
      </c>
      <c r="C195" s="202" t="n">
        <f aca="false">AL_Q1</f>
        <v>0.331840968713343</v>
      </c>
      <c r="R195" s="17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28" t="s">
        <v>2414</v>
      </c>
      <c r="U195" s="41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2" t="s">
        <v>2586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1" t="s">
        <v>2587</v>
      </c>
      <c r="B196" s="28" t="s">
        <v>93</v>
      </c>
      <c r="C196" s="203" t="n">
        <f aca="false">AL_Q1R2</f>
        <v>0.419808283440258</v>
      </c>
      <c r="R196" s="17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28" t="s">
        <v>2414</v>
      </c>
      <c r="U196" s="41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2" t="s">
        <v>2586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1" t="s">
        <v>2588</v>
      </c>
      <c r="B197" s="28" t="s">
        <v>93</v>
      </c>
      <c r="C197" s="202" t="n">
        <f aca="false">AL_Q2</f>
        <v>0.393634855421224</v>
      </c>
      <c r="R197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28" t="s">
        <v>2414</v>
      </c>
      <c r="U197" s="41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2" t="s">
        <v>2589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1" t="s">
        <v>2590</v>
      </c>
      <c r="B198" s="28" t="s">
        <v>85</v>
      </c>
      <c r="C198" s="204" t="n">
        <f aca="false">AL_ServeGW</f>
        <v>0.182592896594975</v>
      </c>
      <c r="R19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28" t="s">
        <v>2414</v>
      </c>
      <c r="U198" s="41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2" t="s">
        <v>2591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1" t="s">
        <v>2592</v>
      </c>
      <c r="B199" s="28" t="s">
        <v>2216</v>
      </c>
      <c r="C199" s="204" t="n">
        <f aca="false">AL_RDGW</f>
        <v>0.0906847035646163</v>
      </c>
      <c r="R199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28" t="s">
        <v>608</v>
      </c>
      <c r="U199" s="41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2" t="s">
        <v>2593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1" t="s">
        <v>2594</v>
      </c>
      <c r="B200" s="28" t="s">
        <v>787</v>
      </c>
      <c r="C200" s="54" t="n">
        <f aca="false">AL_D</f>
        <v>6015200000</v>
      </c>
      <c r="R200" s="175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28" t="s">
        <v>608</v>
      </c>
      <c r="U200" s="41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2" t="s">
        <v>2595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1" t="s">
        <v>2596</v>
      </c>
      <c r="B201" s="41" t="s">
        <v>316</v>
      </c>
      <c r="C201" s="199" t="n">
        <f aca="false">AL_ImpliedNk</f>
        <v>5.36244401482318</v>
      </c>
      <c r="R201" s="17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28" t="s">
        <v>2414</v>
      </c>
      <c r="U201" s="41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2" t="s">
        <v>2597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0" t="s">
        <v>2598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2599</v>
      </c>
      <c r="B204" s="28" t="s">
        <v>795</v>
      </c>
      <c r="C204" s="184" t="n">
        <f aca="false">Theory_Rev_Prod!C18</f>
        <v>0.322297691135277</v>
      </c>
      <c r="D204" s="184" t="n">
        <f aca="false">Theory_Rev_Prod!D18</f>
        <v>0.460494287683855</v>
      </c>
      <c r="E204" s="184" t="n">
        <f aca="false">Theory_Rev_Prod!E18</f>
        <v>0.790830294149093</v>
      </c>
      <c r="F204" s="184" t="n">
        <f aca="false">Theory_Rev_Prod!F18</f>
        <v>0.0426305550116953</v>
      </c>
      <c r="G204" s="184" t="n">
        <f aca="false">Theory_Rev_Prod!G18</f>
        <v>0.0569171274080642</v>
      </c>
      <c r="H204" s="184" t="n">
        <f aca="false">Theory_Rev_Prod!H18</f>
        <v>0.0923082682610577</v>
      </c>
      <c r="I204" s="184" t="n">
        <f aca="false">Theory_Rev_Prod!I18</f>
        <v>0.0373376366713278</v>
      </c>
      <c r="J204" s="184" t="n">
        <f aca="false">Theory_Rev_Prod!J18</f>
        <v>0.0482205602451384</v>
      </c>
      <c r="K204" s="184" t="n">
        <f aca="false">Theory_Rev_Prod!K18</f>
        <v>0.0820902445360032</v>
      </c>
      <c r="L204" s="184" t="n">
        <f aca="false">Theory_Rev_Prod!L18</f>
        <v>0.0254639568319906</v>
      </c>
      <c r="M204" s="184" t="n">
        <f aca="false">Theory_Rev_Prod!M18</f>
        <v>0.0327246589739174</v>
      </c>
      <c r="N204" s="184" t="n">
        <f aca="false">Theory_Rev_Prod!N18</f>
        <v>0.0528610322562433</v>
      </c>
      <c r="O204" s="184" t="n">
        <f aca="false">Theory_Rev_Prod!O18</f>
        <v>0.019039987341036</v>
      </c>
      <c r="P204" s="184" t="n">
        <f aca="false">Theory_Rev_Prod!P18</f>
        <v>0.028932538699959</v>
      </c>
      <c r="Q204" s="184" t="n">
        <f aca="false">Theory_Rev_Prod!Q18</f>
        <v>0.052808606781477</v>
      </c>
      <c r="R204" s="17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28" t="s">
        <v>2600</v>
      </c>
      <c r="U204" s="41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2" t="s">
        <v>2601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1" t="s">
        <v>2602</v>
      </c>
      <c r="B205" s="28" t="s">
        <v>795</v>
      </c>
      <c r="C205" s="184" t="n">
        <f aca="false">Theory_Rev_Prod!C36</f>
        <v>0.929701855557194</v>
      </c>
      <c r="D205" s="184" t="n">
        <f aca="false">Theory_Rev_Prod!D36</f>
        <v>1.32835139745371</v>
      </c>
      <c r="E205" s="184" t="n">
        <f aca="false">Theory_Rev_Prod!E36</f>
        <v>2.28125690264104</v>
      </c>
      <c r="F205" s="184" t="n">
        <f aca="false">Theory_Rev_Prod!F36</f>
        <v>0.137559309558528</v>
      </c>
      <c r="G205" s="184" t="n">
        <f aca="false">Theory_Rev_Prod!G36</f>
        <v>0.1836654635784</v>
      </c>
      <c r="H205" s="184" t="n">
        <f aca="false">Theory_Rev_Prod!H36</f>
        <v>0.297881060282466</v>
      </c>
      <c r="I205" s="184" t="n">
        <f aca="false">Theory_Rev_Prod!I36</f>
        <v>0.121262378816956</v>
      </c>
      <c r="J205" s="184" t="n">
        <f aca="false">Theory_Rev_Prod!J36</f>
        <v>0.156612899452836</v>
      </c>
      <c r="K205" s="184" t="n">
        <f aca="false">Theory_Rev_Prod!K36</f>
        <v>0.266630301057697</v>
      </c>
      <c r="L205" s="184" t="n">
        <f aca="false">Theory_Rev_Prod!L36</f>
        <v>0.0777840752255203</v>
      </c>
      <c r="M205" s="184" t="n">
        <f aca="false">Theory_Rev_Prod!M36</f>
        <v>0.09996820546378</v>
      </c>
      <c r="N205" s="184" t="n">
        <f aca="false">Theory_Rev_Prod!N36</f>
        <v>0.161492272790798</v>
      </c>
      <c r="O205" s="184" t="n">
        <f aca="false">Theory_Rev_Prod!O36</f>
        <v>0.0575524804069272</v>
      </c>
      <c r="P205" s="184" t="n">
        <f aca="false">Theory_Rev_Prod!P36</f>
        <v>0.0874638901630846</v>
      </c>
      <c r="Q205" s="184" t="n">
        <f aca="false">Theory_Rev_Prod!Q36</f>
        <v>0.159656273082383</v>
      </c>
      <c r="R205" s="17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28" t="s">
        <v>2600</v>
      </c>
      <c r="U205" s="41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2" t="s">
        <v>2601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1" t="s">
        <v>2603</v>
      </c>
      <c r="B206" s="28" t="s">
        <v>795</v>
      </c>
      <c r="C206" s="184" t="n">
        <f aca="false">Theory_Rev_Prod!C54</f>
        <v>13.8187128955432</v>
      </c>
      <c r="D206" s="184" t="n">
        <f aca="false">Theory_Rev_Prod!D54</f>
        <v>19.744080898004</v>
      </c>
      <c r="E206" s="184" t="n">
        <f aca="false">Theory_Rev_Prod!E54</f>
        <v>33.9076887700821</v>
      </c>
      <c r="F206" s="184" t="n">
        <f aca="false">Theory_Rev_Prod!F54</f>
        <v>1.25766742001632</v>
      </c>
      <c r="G206" s="184" t="n">
        <f aca="false">Theory_Rev_Prod!G54</f>
        <v>1.6791757326567</v>
      </c>
      <c r="H206" s="184" t="n">
        <f aca="false">Theory_Rev_Prod!H54</f>
        <v>2.72334921594475</v>
      </c>
      <c r="I206" s="184" t="n">
        <f aca="false">Theory_Rev_Prod!I54</f>
        <v>1.30458253122324</v>
      </c>
      <c r="J206" s="184" t="n">
        <f aca="false">Theory_Rev_Prod!J54</f>
        <v>1.6848787498844</v>
      </c>
      <c r="K206" s="184" t="n">
        <f aca="false">Theory_Rev_Prod!K54</f>
        <v>2.86843138403682</v>
      </c>
      <c r="L206" s="184" t="n">
        <f aca="false">Theory_Rev_Prod!L54</f>
        <v>0.550105101834505</v>
      </c>
      <c r="M206" s="184" t="n">
        <f aca="false">Theory_Rev_Prod!M54</f>
        <v>0.706963190029358</v>
      </c>
      <c r="N206" s="184" t="n">
        <f aca="false">Theory_Rev_Prod!N54</f>
        <v>1.14198351650778</v>
      </c>
      <c r="O206" s="184" t="n">
        <f aca="false">Theory_Rev_Prod!O54</f>
        <v>0.352607903361854</v>
      </c>
      <c r="P206" s="184" t="n">
        <f aca="false">Theory_Rev_Prod!P54</f>
        <v>0.535799612330799</v>
      </c>
      <c r="Q206" s="184" t="n">
        <f aca="false">Theory_Rev_Prod!Q54</f>
        <v>0.97794012357181</v>
      </c>
      <c r="R206" s="17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28" t="s">
        <v>2600</v>
      </c>
      <c r="U206" s="41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2" t="s">
        <v>2601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1" t="s">
        <v>2604</v>
      </c>
      <c r="B207" s="28" t="s">
        <v>1796</v>
      </c>
      <c r="C207" s="195" t="n">
        <f aca="false">Theory_Rev_Prod!C11</f>
        <v>2.44762339054934</v>
      </c>
      <c r="D207" s="195" t="n">
        <f aca="false">Theory_Rev_Prod!D11</f>
        <v>2.44762339054934</v>
      </c>
      <c r="E207" s="195" t="n">
        <f aca="false">Theory_Rev_Prod!E11</f>
        <v>2.44762339054934</v>
      </c>
      <c r="F207" s="195" t="n">
        <f aca="false">Theory_Rev_Prod!F11</f>
        <v>13.6555857459493</v>
      </c>
      <c r="G207" s="195" t="n">
        <f aca="false">Theory_Rev_Prod!G11</f>
        <v>13.6555857459493</v>
      </c>
      <c r="H207" s="195" t="n">
        <f aca="false">Theory_Rev_Prod!H11</f>
        <v>13.6555857459493</v>
      </c>
      <c r="I207" s="195" t="n">
        <f aca="false">Theory_Rev_Prod!I11</f>
        <v>19.8808398591479</v>
      </c>
      <c r="J207" s="195" t="n">
        <f aca="false">Theory_Rev_Prod!J11</f>
        <v>19.8808398591479</v>
      </c>
      <c r="K207" s="195" t="n">
        <f aca="false">Theory_Rev_Prod!K11</f>
        <v>19.8808398591479</v>
      </c>
      <c r="L207" s="195" t="n">
        <f aca="false">Theory_Rev_Prod!L11</f>
        <v>29.3255549100997</v>
      </c>
      <c r="M207" s="195" t="n">
        <f aca="false">Theory_Rev_Prod!M11</f>
        <v>29.3255549100997</v>
      </c>
      <c r="N207" s="195" t="n">
        <f aca="false">Theory_Rev_Prod!N11</f>
        <v>29.3255549100997</v>
      </c>
      <c r="O207" s="195" t="n">
        <f aca="false">Theory_Rev_Prod!O11</f>
        <v>39.6992397829504</v>
      </c>
      <c r="P207" s="195" t="n">
        <f aca="false">Theory_Rev_Prod!P11</f>
        <v>39.6992397829504</v>
      </c>
      <c r="Q207" s="195" t="n">
        <f aca="false">Theory_Rev_Prod!Q11</f>
        <v>39.6992397829504</v>
      </c>
      <c r="R207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28" t="s">
        <v>2600</v>
      </c>
      <c r="U207" s="41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2" t="s">
        <v>2605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1" t="s">
        <v>2606</v>
      </c>
      <c r="B208" s="28" t="s">
        <v>1796</v>
      </c>
      <c r="C208" s="195" t="n">
        <f aca="false">Theory_Rev_Prod!C29</f>
        <v>15.1336974133362</v>
      </c>
      <c r="D208" s="195" t="n">
        <f aca="false">Theory_Rev_Prod!D29</f>
        <v>15.1336974133362</v>
      </c>
      <c r="E208" s="195" t="n">
        <f aca="false">Theory_Rev_Prod!E29</f>
        <v>15.1336974133362</v>
      </c>
      <c r="F208" s="195" t="n">
        <f aca="false">Theory_Rev_Prod!F29</f>
        <v>80.1519532436076</v>
      </c>
      <c r="G208" s="195" t="n">
        <f aca="false">Theory_Rev_Prod!G29</f>
        <v>80.1519532436076</v>
      </c>
      <c r="H208" s="195" t="n">
        <f aca="false">Theory_Rev_Prod!H29</f>
        <v>80.1519532436076</v>
      </c>
      <c r="I208" s="195" t="n">
        <f aca="false">Theory_Rev_Prod!I29</f>
        <v>116.69130687468</v>
      </c>
      <c r="J208" s="195" t="n">
        <f aca="false">Theory_Rev_Prod!J29</f>
        <v>116.69130687468</v>
      </c>
      <c r="K208" s="195" t="n">
        <f aca="false">Theory_Rev_Prod!K29</f>
        <v>116.69130687468</v>
      </c>
      <c r="L208" s="195" t="n">
        <f aca="false">Theory_Rev_Prod!L29</f>
        <v>184.79597204631</v>
      </c>
      <c r="M208" s="195" t="n">
        <f aca="false">Theory_Rev_Prod!M29</f>
        <v>184.79597204631</v>
      </c>
      <c r="N208" s="195" t="n">
        <f aca="false">Theory_Rev_Prod!N29</f>
        <v>184.79597204631</v>
      </c>
      <c r="O208" s="195" t="n">
        <f aca="false">Theory_Rev_Prod!O29</f>
        <v>254.725350558298</v>
      </c>
      <c r="P208" s="195" t="n">
        <f aca="false">Theory_Rev_Prod!P29</f>
        <v>254.725350558298</v>
      </c>
      <c r="Q208" s="195" t="n">
        <f aca="false">Theory_Rev_Prod!Q29</f>
        <v>254.725350558298</v>
      </c>
      <c r="R208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28" t="s">
        <v>2600</v>
      </c>
      <c r="U208" s="41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2" t="s">
        <v>2605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1" t="s">
        <v>2607</v>
      </c>
      <c r="B209" s="28" t="s">
        <v>1796</v>
      </c>
      <c r="C209" s="195" t="n">
        <f aca="false">Theory_Rev_Prod!C47</f>
        <v>9.08886774488705</v>
      </c>
      <c r="D209" s="195" t="n">
        <f aca="false">Theory_Rev_Prod!D47</f>
        <v>9.08886774488705</v>
      </c>
      <c r="E209" s="195" t="n">
        <f aca="false">Theory_Rev_Prod!E47</f>
        <v>9.08886774488705</v>
      </c>
      <c r="F209" s="195" t="n">
        <f aca="false">Theory_Rev_Prod!F47</f>
        <v>70.8060260045462</v>
      </c>
      <c r="G209" s="195" t="n">
        <f aca="false">Theory_Rev_Prod!G47</f>
        <v>70.8060260045462</v>
      </c>
      <c r="H209" s="195" t="n">
        <f aca="false">Theory_Rev_Prod!H47</f>
        <v>70.8060260045462</v>
      </c>
      <c r="I209" s="195" t="n">
        <f aca="false">Theory_Rev_Prod!I47</f>
        <v>81.6810591163036</v>
      </c>
      <c r="J209" s="195" t="n">
        <f aca="false">Theory_Rev_Prod!J47</f>
        <v>81.6810591163036</v>
      </c>
      <c r="K209" s="195" t="n">
        <f aca="false">Theory_Rev_Prod!K47</f>
        <v>81.6810591163036</v>
      </c>
      <c r="L209" s="195" t="n">
        <f aca="false">Theory_Rev_Prod!L47</f>
        <v>188.934678809326</v>
      </c>
      <c r="M209" s="195" t="n">
        <f aca="false">Theory_Rev_Prod!M47</f>
        <v>188.934678809326</v>
      </c>
      <c r="N209" s="195" t="n">
        <f aca="false">Theory_Rev_Prod!N47</f>
        <v>188.934678809326</v>
      </c>
      <c r="O209" s="195" t="n">
        <f aca="false">Theory_Rev_Prod!O47</f>
        <v>278.482692813541</v>
      </c>
      <c r="P209" s="195" t="n">
        <f aca="false">Theory_Rev_Prod!P47</f>
        <v>278.482692813541</v>
      </c>
      <c r="Q209" s="195" t="n">
        <f aca="false">Theory_Rev_Prod!Q47</f>
        <v>278.482692813541</v>
      </c>
      <c r="R209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28" t="s">
        <v>2600</v>
      </c>
      <c r="U209" s="41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2" t="s">
        <v>2605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1" t="s">
        <v>2608</v>
      </c>
      <c r="B210" s="28" t="s">
        <v>1796</v>
      </c>
      <c r="C210" s="195" t="n">
        <f aca="false">Theory_Rev_Prod!C67</f>
        <v>2.24296199760285</v>
      </c>
      <c r="D210" s="195" t="n">
        <f aca="false">Theory_Rev_Prod!D67</f>
        <v>2.24296199760285</v>
      </c>
      <c r="E210" s="195" t="n">
        <f aca="false">Theory_Rev_Prod!E67</f>
        <v>2.24296199760285</v>
      </c>
      <c r="F210" s="195" t="n">
        <f aca="false">Theory_Rev_Prod!F67</f>
        <v>15.2851605558118</v>
      </c>
      <c r="G210" s="195" t="n">
        <f aca="false">Theory_Rev_Prod!G67</f>
        <v>15.2851605558118</v>
      </c>
      <c r="H210" s="195" t="n">
        <f aca="false">Theory_Rev_Prod!H67</f>
        <v>15.2851605558118</v>
      </c>
      <c r="I210" s="195" t="n">
        <f aca="false">Theory_Rev_Prod!I67</f>
        <v>19.2324652424837</v>
      </c>
      <c r="J210" s="195" t="n">
        <f aca="false">Theory_Rev_Prod!J67</f>
        <v>19.2324652424837</v>
      </c>
      <c r="K210" s="195" t="n">
        <f aca="false">Theory_Rev_Prod!K67</f>
        <v>19.2324652424837</v>
      </c>
      <c r="L210" s="195" t="n">
        <f aca="false">Theory_Rev_Prod!L67</f>
        <v>38.1145472754025</v>
      </c>
      <c r="M210" s="195" t="n">
        <f aca="false">Theory_Rev_Prod!M67</f>
        <v>38.1145472754025</v>
      </c>
      <c r="N210" s="195" t="n">
        <f aca="false">Theory_Rev_Prod!N67</f>
        <v>38.1145472754025</v>
      </c>
      <c r="O210" s="195" t="n">
        <f aca="false">Theory_Rev_Prod!O67</f>
        <v>54.4181760054532</v>
      </c>
      <c r="P210" s="195" t="n">
        <f aca="false">Theory_Rev_Prod!P67</f>
        <v>54.4181760054532</v>
      </c>
      <c r="Q210" s="195" t="n">
        <f aca="false">Theory_Rev_Prod!Q67</f>
        <v>54.4181760054532</v>
      </c>
      <c r="R21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28" t="s">
        <v>2600</v>
      </c>
      <c r="U210" s="41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2" t="s">
        <v>2609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0" t="s">
        <v>2610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2611</v>
      </c>
      <c r="B213" s="28" t="s">
        <v>1796</v>
      </c>
      <c r="C213" s="195" t="n">
        <f aca="false">Theory_Rev!C90</f>
        <v>2.44762339054934</v>
      </c>
      <c r="D213" s="195" t="n">
        <f aca="false">Theory_Rev!D90</f>
        <v>2.44762339054934</v>
      </c>
      <c r="E213" s="195" t="n">
        <f aca="false">Theory_Rev!E90</f>
        <v>2.44762339054934</v>
      </c>
      <c r="F213" s="195" t="n">
        <f aca="false">Theory_Rev!F90</f>
        <v>13.6555857459493</v>
      </c>
      <c r="G213" s="195" t="n">
        <f aca="false">Theory_Rev!G90</f>
        <v>13.6555857459493</v>
      </c>
      <c r="H213" s="195" t="n">
        <f aca="false">Theory_Rev!H90</f>
        <v>13.6555857459493</v>
      </c>
      <c r="I213" s="195" t="n">
        <f aca="false">Theory_Rev!I90</f>
        <v>19.8808398591479</v>
      </c>
      <c r="J213" s="195" t="n">
        <f aca="false">Theory_Rev!J90</f>
        <v>19.8808398591479</v>
      </c>
      <c r="K213" s="195" t="n">
        <f aca="false">Theory_Rev!K90</f>
        <v>19.8808398591479</v>
      </c>
      <c r="L213" s="195" t="n">
        <f aca="false">Theory_Rev!L90</f>
        <v>29.3255549100997</v>
      </c>
      <c r="M213" s="195" t="n">
        <f aca="false">Theory_Rev!M90</f>
        <v>29.3255549100997</v>
      </c>
      <c r="N213" s="195" t="n">
        <f aca="false">Theory_Rev!N90</f>
        <v>29.3255549100997</v>
      </c>
      <c r="O213" s="195" t="n">
        <f aca="false">Theory_Rev!O90</f>
        <v>39.6992397829504</v>
      </c>
      <c r="P213" s="195" t="n">
        <f aca="false">Theory_Rev!P90</f>
        <v>39.6992397829504</v>
      </c>
      <c r="Q213" s="195" t="n">
        <f aca="false">Theory_Rev!Q90</f>
        <v>39.6992397829504</v>
      </c>
      <c r="R213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28" t="s">
        <v>2612</v>
      </c>
      <c r="U213" s="41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13" s="52" t="s">
        <v>2613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1" t="s">
        <v>2614</v>
      </c>
      <c r="B214" s="28" t="s">
        <v>1796</v>
      </c>
      <c r="C214" s="195" t="n">
        <f aca="false">Theory_Rev!C91</f>
        <v>15.1336974133362</v>
      </c>
      <c r="D214" s="195" t="n">
        <f aca="false">Theory_Rev!D91</f>
        <v>15.1336974133362</v>
      </c>
      <c r="E214" s="195" t="n">
        <f aca="false">Theory_Rev!E91</f>
        <v>15.1336974133362</v>
      </c>
      <c r="F214" s="195" t="n">
        <f aca="false">Theory_Rev!F91</f>
        <v>80.1519532436076</v>
      </c>
      <c r="G214" s="195" t="n">
        <f aca="false">Theory_Rev!G91</f>
        <v>80.1519532436076</v>
      </c>
      <c r="H214" s="195" t="n">
        <f aca="false">Theory_Rev!H91</f>
        <v>80.1519532436076</v>
      </c>
      <c r="I214" s="195" t="n">
        <f aca="false">Theory_Rev!I91</f>
        <v>116.69130687468</v>
      </c>
      <c r="J214" s="195" t="n">
        <f aca="false">Theory_Rev!J91</f>
        <v>116.69130687468</v>
      </c>
      <c r="K214" s="195" t="n">
        <f aca="false">Theory_Rev!K91</f>
        <v>116.69130687468</v>
      </c>
      <c r="L214" s="195" t="n">
        <f aca="false">Theory_Rev!L91</f>
        <v>184.79597204631</v>
      </c>
      <c r="M214" s="195" t="n">
        <f aca="false">Theory_Rev!M91</f>
        <v>184.79597204631</v>
      </c>
      <c r="N214" s="195" t="n">
        <f aca="false">Theory_Rev!N91</f>
        <v>184.79597204631</v>
      </c>
      <c r="O214" s="195" t="n">
        <f aca="false">Theory_Rev!O91</f>
        <v>254.725350558298</v>
      </c>
      <c r="P214" s="195" t="n">
        <f aca="false">Theory_Rev!P91</f>
        <v>254.725350558298</v>
      </c>
      <c r="Q214" s="195" t="n">
        <f aca="false">Theory_Rev!Q91</f>
        <v>254.725350558298</v>
      </c>
      <c r="R214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28" t="s">
        <v>2612</v>
      </c>
      <c r="U214" s="41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14" s="52" t="s">
        <v>2613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1" t="s">
        <v>2615</v>
      </c>
      <c r="B215" s="28" t="s">
        <v>1796</v>
      </c>
      <c r="C215" s="195" t="n">
        <f aca="false">Theory_Rev!C92</f>
        <v>9.08886774488705</v>
      </c>
      <c r="D215" s="195" t="n">
        <f aca="false">Theory_Rev!D92</f>
        <v>9.08886774488705</v>
      </c>
      <c r="E215" s="195" t="n">
        <f aca="false">Theory_Rev!E92</f>
        <v>9.08886774488705</v>
      </c>
      <c r="F215" s="195" t="n">
        <f aca="false">Theory_Rev!F92</f>
        <v>70.8060260045462</v>
      </c>
      <c r="G215" s="195" t="n">
        <f aca="false">Theory_Rev!G92</f>
        <v>70.8060260045462</v>
      </c>
      <c r="H215" s="195" t="n">
        <f aca="false">Theory_Rev!H92</f>
        <v>70.8060260045462</v>
      </c>
      <c r="I215" s="195" t="n">
        <f aca="false">Theory_Rev!I92</f>
        <v>81.6810591163036</v>
      </c>
      <c r="J215" s="195" t="n">
        <f aca="false">Theory_Rev!J92</f>
        <v>81.6810591163036</v>
      </c>
      <c r="K215" s="195" t="n">
        <f aca="false">Theory_Rev!K92</f>
        <v>81.6810591163036</v>
      </c>
      <c r="L215" s="195" t="n">
        <f aca="false">Theory_Rev!L92</f>
        <v>188.934678809326</v>
      </c>
      <c r="M215" s="195" t="n">
        <f aca="false">Theory_Rev!M92</f>
        <v>188.934678809326</v>
      </c>
      <c r="N215" s="195" t="n">
        <f aca="false">Theory_Rev!N92</f>
        <v>188.934678809326</v>
      </c>
      <c r="O215" s="195" t="n">
        <f aca="false">Theory_Rev!O92</f>
        <v>278.482692813541</v>
      </c>
      <c r="P215" s="195" t="n">
        <f aca="false">Theory_Rev!P92</f>
        <v>278.482692813541</v>
      </c>
      <c r="Q215" s="195" t="n">
        <f aca="false">Theory_Rev!Q92</f>
        <v>278.482692813541</v>
      </c>
      <c r="R21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28" t="s">
        <v>2612</v>
      </c>
      <c r="U215" s="41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15" s="52" t="s">
        <v>2613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1" t="s">
        <v>2616</v>
      </c>
      <c r="B216" s="28" t="s">
        <v>1796</v>
      </c>
      <c r="C216" s="195" t="n">
        <f aca="false">Theory_Rev!C93</f>
        <v>2.24296199760285</v>
      </c>
      <c r="D216" s="195" t="n">
        <f aca="false">Theory_Rev!D93</f>
        <v>2.24296199760285</v>
      </c>
      <c r="E216" s="195" t="n">
        <f aca="false">Theory_Rev!E93</f>
        <v>2.24296199760285</v>
      </c>
      <c r="F216" s="195" t="n">
        <f aca="false">Theory_Rev!F93</f>
        <v>15.2851605558118</v>
      </c>
      <c r="G216" s="195" t="n">
        <f aca="false">Theory_Rev!G93</f>
        <v>15.2851605558118</v>
      </c>
      <c r="H216" s="195" t="n">
        <f aca="false">Theory_Rev!H93</f>
        <v>15.2851605558118</v>
      </c>
      <c r="I216" s="195" t="n">
        <f aca="false">Theory_Rev!I93</f>
        <v>19.2324652424837</v>
      </c>
      <c r="J216" s="195" t="n">
        <f aca="false">Theory_Rev!J93</f>
        <v>19.2324652424837</v>
      </c>
      <c r="K216" s="195" t="n">
        <f aca="false">Theory_Rev!K93</f>
        <v>19.2324652424837</v>
      </c>
      <c r="L216" s="195" t="n">
        <f aca="false">Theory_Rev!L93</f>
        <v>38.1145472754025</v>
      </c>
      <c r="M216" s="195" t="n">
        <f aca="false">Theory_Rev!M93</f>
        <v>38.1145472754025</v>
      </c>
      <c r="N216" s="195" t="n">
        <f aca="false">Theory_Rev!N93</f>
        <v>38.1145472754025</v>
      </c>
      <c r="O216" s="195" t="n">
        <f aca="false">Theory_Rev!O93</f>
        <v>54.4181760054532</v>
      </c>
      <c r="P216" s="195" t="n">
        <f aca="false">Theory_Rev!P93</f>
        <v>54.4181760054532</v>
      </c>
      <c r="Q216" s="195" t="n">
        <f aca="false">Theory_Rev!Q93</f>
        <v>54.4181760054532</v>
      </c>
      <c r="R21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28" t="s">
        <v>2612</v>
      </c>
      <c r="U216" s="41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16" s="52" t="s">
        <v>2617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0" t="s">
        <v>2618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2619</v>
      </c>
      <c r="B219" s="41" t="s">
        <v>128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5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28" t="s">
        <v>608</v>
      </c>
      <c r="U219" s="41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2" t="s">
        <v>2620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1" t="s">
        <v>2621</v>
      </c>
      <c r="B220" s="28" t="s">
        <v>1796</v>
      </c>
      <c r="C220" s="43" t="n">
        <f aca="false">(DC_Cost!C39)/CTL_GW</f>
        <v>3.5700449</v>
      </c>
      <c r="D220" s="43" t="n">
        <f aca="false">(DC_Cost!D39)/CTL_GW</f>
        <v>4.58503566666667</v>
      </c>
      <c r="E220" s="43" t="n">
        <f aca="false">(DC_Cost!E39)/CTL_GW</f>
        <v>8.53018585</v>
      </c>
      <c r="F220" s="43" t="n">
        <f aca="false">(DC_Cost!F39)/CTL_GW</f>
        <v>3.4398984</v>
      </c>
      <c r="G220" s="43" t="n">
        <f aca="false">(DC_Cost!G39)/CTL_GW</f>
        <v>4.002529</v>
      </c>
      <c r="H220" s="43" t="n">
        <f aca="false">(DC_Cost!H39)/CTL_GW</f>
        <v>6.9125511</v>
      </c>
      <c r="I220" s="43" t="n">
        <f aca="false">(DC_Cost!I39)/CTL_GW</f>
        <v>4.7591504</v>
      </c>
      <c r="J220" s="43" t="n">
        <f aca="false">(DC_Cost!J39)/CTL_GW</f>
        <v>5.37287066666667</v>
      </c>
      <c r="K220" s="43" t="n">
        <f aca="false">(DC_Cost!K39)/CTL_GW</f>
        <v>9.8206516</v>
      </c>
      <c r="L220" s="43" t="n">
        <f aca="false">(DC_Cost!L39)/CTL_GW</f>
        <v>5.5455672</v>
      </c>
      <c r="M220" s="43" t="n">
        <f aca="false">(DC_Cost!M39)/CTL_GW</f>
        <v>6.264392</v>
      </c>
      <c r="N220" s="43" t="n">
        <f aca="false">(DC_Cost!N39)/CTL_GW</f>
        <v>10.6593938</v>
      </c>
      <c r="O220" s="43" t="n">
        <f aca="false">(DC_Cost!O39)/CTL_GW</f>
        <v>5.974263</v>
      </c>
      <c r="P220" s="43" t="n">
        <f aca="false">(DC_Cost!P39)/CTL_GW</f>
        <v>8.34763</v>
      </c>
      <c r="Q220" s="43" t="n">
        <f aca="false">(DC_Cost!Q39)/CTL_GW</f>
        <v>16.3703895</v>
      </c>
      <c r="R220" s="175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28" t="s">
        <v>608</v>
      </c>
      <c r="U220" s="41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2" t="s">
        <v>2622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1" t="s">
        <v>2623</v>
      </c>
      <c r="B221" s="28" t="s">
        <v>1796</v>
      </c>
      <c r="C221" s="43" t="n">
        <f aca="false">(DC_Cost!C40)/CTL_GW</f>
        <v>0.507733333333333</v>
      </c>
      <c r="D221" s="43" t="n">
        <f aca="false">(DC_Cost!D40)/CTL_GW</f>
        <v>0.634416666666667</v>
      </c>
      <c r="E221" s="43" t="n">
        <f aca="false">(DC_Cost!E40)/CTL_GW</f>
        <v>0.812233333333334</v>
      </c>
      <c r="F221" s="43" t="n">
        <f aca="false">(DC_Cost!F40)/CTL_GW</f>
        <v>0.507733333333333</v>
      </c>
      <c r="G221" s="43" t="n">
        <f aca="false">(DC_Cost!G40)/CTL_GW</f>
        <v>0.634416666666667</v>
      </c>
      <c r="H221" s="43" t="n">
        <f aca="false">(DC_Cost!H40)/CTL_GW</f>
        <v>0.812233333333334</v>
      </c>
      <c r="I221" s="43" t="n">
        <f aca="false">(DC_Cost!I40)/CTL_GW</f>
        <v>0.507733333333333</v>
      </c>
      <c r="J221" s="43" t="n">
        <f aca="false">(DC_Cost!J40)/CTL_GW</f>
        <v>0.634416666666667</v>
      </c>
      <c r="K221" s="43" t="n">
        <f aca="false">(DC_Cost!K40)/CTL_GW</f>
        <v>0.812233333333334</v>
      </c>
      <c r="L221" s="43" t="n">
        <f aca="false">(DC_Cost!L40)/CTL_GW</f>
        <v>0.507733333333333</v>
      </c>
      <c r="M221" s="43" t="n">
        <f aca="false">(DC_Cost!M40)/CTL_GW</f>
        <v>0.634416666666667</v>
      </c>
      <c r="N221" s="43" t="n">
        <f aca="false">(DC_Cost!N40)/CTL_GW</f>
        <v>0.812233333333334</v>
      </c>
      <c r="O221" s="43" t="n">
        <f aca="false">(DC_Cost!O40)/CTL_GW</f>
        <v>0.507733333333333</v>
      </c>
      <c r="P221" s="43" t="n">
        <f aca="false">(DC_Cost!P40)/CTL_GW</f>
        <v>0.634416666666667</v>
      </c>
      <c r="Q221" s="43" t="n">
        <f aca="false">(DC_Cost!Q40)/CTL_GW</f>
        <v>0.812233333333334</v>
      </c>
      <c r="R221" s="175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28" t="s">
        <v>608</v>
      </c>
      <c r="U221" s="41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2" t="s">
        <v>2624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1" t="s">
        <v>2625</v>
      </c>
      <c r="B222" s="28" t="s">
        <v>93</v>
      </c>
      <c r="C222" s="187" t="n">
        <f aca="false">DC_Cost!C41</f>
        <v>0.7</v>
      </c>
      <c r="D222" s="187" t="n">
        <f aca="false">DC_Cost!D41</f>
        <v>0.8</v>
      </c>
      <c r="E222" s="187" t="n">
        <f aca="false">DC_Cost!E41</f>
        <v>0.9</v>
      </c>
      <c r="F222" s="187" t="n">
        <f aca="false">DC_Cost!F41</f>
        <v>0.7</v>
      </c>
      <c r="G222" s="187" t="n">
        <f aca="false">DC_Cost!G41</f>
        <v>0.8</v>
      </c>
      <c r="H222" s="187" t="n">
        <f aca="false">DC_Cost!H41</f>
        <v>0.9</v>
      </c>
      <c r="I222" s="187" t="n">
        <f aca="false">DC_Cost!I41</f>
        <v>0.7</v>
      </c>
      <c r="J222" s="187" t="n">
        <f aca="false">DC_Cost!J41</f>
        <v>0.8</v>
      </c>
      <c r="K222" s="187" t="n">
        <f aca="false">DC_Cost!K41</f>
        <v>0.9</v>
      </c>
      <c r="L222" s="187" t="n">
        <f aca="false">DC_Cost!L41</f>
        <v>0.7</v>
      </c>
      <c r="M222" s="187" t="n">
        <f aca="false">DC_Cost!M41</f>
        <v>0.8</v>
      </c>
      <c r="N222" s="187" t="n">
        <f aca="false">DC_Cost!N41</f>
        <v>0.9</v>
      </c>
      <c r="O222" s="187" t="n">
        <f aca="false">DC_Cost!O41</f>
        <v>0.7</v>
      </c>
      <c r="P222" s="187" t="n">
        <f aca="false">DC_Cost!P41</f>
        <v>0.8</v>
      </c>
      <c r="Q222" s="187" t="n">
        <f aca="false">DC_Cost!Q41</f>
        <v>0.9</v>
      </c>
      <c r="R222" s="175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28" t="s">
        <v>608</v>
      </c>
      <c r="U222" s="41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2" t="s">
        <v>2626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1" t="s">
        <v>2627</v>
      </c>
      <c r="B223" s="28" t="s">
        <v>103</v>
      </c>
      <c r="C223" s="205" t="n">
        <f aca="false">DC_Cost!C42</f>
        <v>0.06</v>
      </c>
      <c r="D223" s="205" t="n">
        <f aca="false">DC_Cost!D42</f>
        <v>0.08</v>
      </c>
      <c r="E223" s="205" t="n">
        <f aca="false">DC_Cost!E42</f>
        <v>0.1</v>
      </c>
      <c r="F223" s="205" t="n">
        <f aca="false">DC_Cost!F42</f>
        <v>0.06</v>
      </c>
      <c r="G223" s="205" t="n">
        <f aca="false">DC_Cost!G42</f>
        <v>0.08</v>
      </c>
      <c r="H223" s="205" t="n">
        <f aca="false">DC_Cost!H42</f>
        <v>0.1</v>
      </c>
      <c r="I223" s="205" t="n">
        <f aca="false">DC_Cost!I42</f>
        <v>0.06</v>
      </c>
      <c r="J223" s="205" t="n">
        <f aca="false">DC_Cost!J42</f>
        <v>0.08</v>
      </c>
      <c r="K223" s="205" t="n">
        <f aca="false">DC_Cost!K42</f>
        <v>0.1</v>
      </c>
      <c r="L223" s="205" t="n">
        <f aca="false">DC_Cost!L42</f>
        <v>0.06</v>
      </c>
      <c r="M223" s="205" t="n">
        <f aca="false">DC_Cost!M42</f>
        <v>0.08</v>
      </c>
      <c r="N223" s="205" t="n">
        <f aca="false">DC_Cost!N42</f>
        <v>0.1</v>
      </c>
      <c r="O223" s="205" t="n">
        <f aca="false">DC_Cost!O42</f>
        <v>0.06</v>
      </c>
      <c r="P223" s="205" t="n">
        <f aca="false">DC_Cost!P42</f>
        <v>0.08</v>
      </c>
      <c r="Q223" s="205" t="n">
        <f aca="false">DC_Cost!Q42</f>
        <v>0.1</v>
      </c>
      <c r="R223" s="175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28" t="s">
        <v>608</v>
      </c>
      <c r="U223" s="41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2" t="s">
        <v>2626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1" t="s">
        <v>2628</v>
      </c>
      <c r="B224" s="28" t="s">
        <v>1796</v>
      </c>
      <c r="C224" s="43" t="n">
        <f aca="false">(DC_Cost!C44)/CTL_GW</f>
        <v>0.219436730882534</v>
      </c>
      <c r="D224" s="43" t="n">
        <f aca="false">(DC_Cost!D44)/CTL_GW</f>
        <v>0.43259841019734</v>
      </c>
      <c r="E224" s="43" t="n">
        <f aca="false">(DC_Cost!E44)/CTL_GW</f>
        <v>0.6226274060112</v>
      </c>
      <c r="F224" s="43" t="n">
        <f aca="false">(DC_Cost!F44)/CTL_GW</f>
        <v>0.211437133315623</v>
      </c>
      <c r="G224" s="43" t="n">
        <f aca="false">(DC_Cost!G44)/CTL_GW</f>
        <v>0.377638868712999</v>
      </c>
      <c r="H224" s="43" t="n">
        <f aca="false">(DC_Cost!H44)/CTL_GW</f>
        <v>0.504554512175472</v>
      </c>
      <c r="I224" s="43" t="n">
        <f aca="false">(DC_Cost!I44)/CTL_GW</f>
        <v>0.292526406475813</v>
      </c>
      <c r="J224" s="43" t="n">
        <f aca="false">(DC_Cost!J44)/CTL_GW</f>
        <v>0.506930693144573</v>
      </c>
      <c r="K224" s="43" t="n">
        <f aca="false">(DC_Cost!K44)/CTL_GW</f>
        <v>0.716819883947515</v>
      </c>
      <c r="L224" s="43" t="n">
        <f aca="false">(DC_Cost!L44)/CTL_GW</f>
        <v>0.340864378836638</v>
      </c>
      <c r="M224" s="43" t="n">
        <f aca="false">(DC_Cost!M44)/CTL_GW</f>
        <v>0.591045788314028</v>
      </c>
      <c r="N224" s="43" t="n">
        <f aca="false">(DC_Cost!N44)/CTL_GW</f>
        <v>0.778040575909124</v>
      </c>
      <c r="O224" s="43" t="n">
        <f aca="false">(DC_Cost!O44)/CTL_GW</f>
        <v>0.367214637035091</v>
      </c>
      <c r="P224" s="43" t="n">
        <f aca="false">(DC_Cost!P44)/CTL_GW</f>
        <v>0.787599427670528</v>
      </c>
      <c r="Q224" s="43" t="n">
        <f aca="false">(DC_Cost!Q44)/CTL_GW</f>
        <v>1.19489227186978</v>
      </c>
      <c r="R224" s="175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28" t="s">
        <v>608</v>
      </c>
      <c r="U224" s="41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2" t="s">
        <v>2629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1" t="s">
        <v>2630</v>
      </c>
      <c r="B225" s="28" t="s">
        <v>1796</v>
      </c>
      <c r="C225" s="43" t="n">
        <f aca="false">(DC_Cost!C45)/CTL_GW</f>
        <v>0.15318</v>
      </c>
      <c r="D225" s="43" t="n">
        <f aca="false">(DC_Cost!D45)/CTL_GW</f>
        <v>0.2534</v>
      </c>
      <c r="E225" s="43" t="n">
        <f aca="false">(DC_Cost!E45)/CTL_GW</f>
        <v>0.40465</v>
      </c>
      <c r="F225" s="43" t="n">
        <f aca="false">(DC_Cost!F45)/CTL_GW</f>
        <v>0.15318</v>
      </c>
      <c r="G225" s="43" t="n">
        <f aca="false">(DC_Cost!G45)/CTL_GW</f>
        <v>0.2534</v>
      </c>
      <c r="H225" s="43" t="n">
        <f aca="false">(DC_Cost!H45)/CTL_GW</f>
        <v>0.40465</v>
      </c>
      <c r="I225" s="43" t="n">
        <f aca="false">(DC_Cost!I45)/CTL_GW</f>
        <v>0.15318</v>
      </c>
      <c r="J225" s="43" t="n">
        <f aca="false">(DC_Cost!J45)/CTL_GW</f>
        <v>0.2534</v>
      </c>
      <c r="K225" s="43" t="n">
        <f aca="false">(DC_Cost!K45)/CTL_GW</f>
        <v>0.40465</v>
      </c>
      <c r="L225" s="43" t="n">
        <f aca="false">(DC_Cost!L45)/CTL_GW</f>
        <v>0.15318</v>
      </c>
      <c r="M225" s="43" t="n">
        <f aca="false">(DC_Cost!M45)/CTL_GW</f>
        <v>0.2534</v>
      </c>
      <c r="N225" s="43" t="n">
        <f aca="false">(DC_Cost!N45)/CTL_GW</f>
        <v>0.40465</v>
      </c>
      <c r="O225" s="43" t="n">
        <f aca="false">(DC_Cost!O45)/CTL_GW</f>
        <v>0.15318</v>
      </c>
      <c r="P225" s="43" t="n">
        <f aca="false">(DC_Cost!P45)/CTL_GW</f>
        <v>0.2534</v>
      </c>
      <c r="Q225" s="43" t="n">
        <f aca="false">(DC_Cost!Q45)/CTL_GW</f>
        <v>0.40465</v>
      </c>
      <c r="R225" s="175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28" t="s">
        <v>608</v>
      </c>
      <c r="U225" s="41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2" t="s">
        <v>2631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1" t="s">
        <v>2632</v>
      </c>
      <c r="B226" s="28" t="s">
        <v>1796</v>
      </c>
      <c r="C226" s="43" t="n">
        <f aca="false">(DC_Cost!C46)/CTL_GW</f>
        <v>0.24</v>
      </c>
      <c r="D226" s="43" t="n">
        <f aca="false">(DC_Cost!D46)/CTL_GW</f>
        <v>0.325</v>
      </c>
      <c r="E226" s="43" t="n">
        <f aca="false">(DC_Cost!E46)/CTL_GW</f>
        <v>0.41</v>
      </c>
      <c r="F226" s="43" t="n">
        <f aca="false">(DC_Cost!F46)/CTL_GW</f>
        <v>0.24</v>
      </c>
      <c r="G226" s="43" t="n">
        <f aca="false">(DC_Cost!G46)/CTL_GW</f>
        <v>0.325</v>
      </c>
      <c r="H226" s="43" t="n">
        <f aca="false">(DC_Cost!H46)/CTL_GW</f>
        <v>0.41</v>
      </c>
      <c r="I226" s="43" t="n">
        <f aca="false">(DC_Cost!I46)/CTL_GW</f>
        <v>0.24</v>
      </c>
      <c r="J226" s="43" t="n">
        <f aca="false">(DC_Cost!J46)/CTL_GW</f>
        <v>0.325</v>
      </c>
      <c r="K226" s="43" t="n">
        <f aca="false">(DC_Cost!K46)/CTL_GW</f>
        <v>0.41</v>
      </c>
      <c r="L226" s="43" t="n">
        <f aca="false">(DC_Cost!L46)/CTL_GW</f>
        <v>0.24</v>
      </c>
      <c r="M226" s="43" t="n">
        <f aca="false">(DC_Cost!M46)/CTL_GW</f>
        <v>0.325</v>
      </c>
      <c r="N226" s="43" t="n">
        <f aca="false">(DC_Cost!N46)/CTL_GW</f>
        <v>0.41</v>
      </c>
      <c r="O226" s="43" t="n">
        <f aca="false">(DC_Cost!O46)/CTL_GW</f>
        <v>0.24</v>
      </c>
      <c r="P226" s="43" t="n">
        <f aca="false">(DC_Cost!P46)/CTL_GW</f>
        <v>0.325</v>
      </c>
      <c r="Q226" s="43" t="n">
        <f aca="false">(DC_Cost!Q46)/CTL_GW</f>
        <v>0.41</v>
      </c>
      <c r="R226" s="175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28" t="s">
        <v>608</v>
      </c>
      <c r="U226" s="41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2" t="s">
        <v>2386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1" t="s">
        <v>2633</v>
      </c>
      <c r="B227" s="28" t="s">
        <v>1796</v>
      </c>
      <c r="C227" s="43" t="n">
        <f aca="false">(DC_Cost!C47)/CTL_GW</f>
        <v>0.0948968082</v>
      </c>
      <c r="D227" s="43" t="n">
        <f aca="false">(DC_Cost!D47)/CTL_GW</f>
        <v>0.20090107</v>
      </c>
      <c r="E227" s="43" t="n">
        <f aca="false">(DC_Cost!E47)/CTL_GW</f>
        <v>0.4024539472</v>
      </c>
      <c r="F227" s="43" t="n">
        <f aca="false">(DC_Cost!F47)/CTL_GW</f>
        <v>0.0925541712</v>
      </c>
      <c r="G227" s="43" t="n">
        <f aca="false">(DC_Cost!G47)/CTL_GW</f>
        <v>0.18342587</v>
      </c>
      <c r="H227" s="43" t="n">
        <f aca="false">(DC_Cost!H47)/CTL_GW</f>
        <v>0.3506896352</v>
      </c>
      <c r="I227" s="43" t="n">
        <f aca="false">(DC_Cost!I47)/CTL_GW</f>
        <v>0.1163007072</v>
      </c>
      <c r="J227" s="43" t="n">
        <f aca="false">(DC_Cost!J47)/CTL_GW</f>
        <v>0.22453612</v>
      </c>
      <c r="K227" s="43" t="n">
        <f aca="false">(DC_Cost!K47)/CTL_GW</f>
        <v>0.4437488512</v>
      </c>
      <c r="L227" s="43" t="n">
        <f aca="false">(DC_Cost!L47)/CTL_GW</f>
        <v>0.1304562096</v>
      </c>
      <c r="M227" s="43" t="n">
        <f aca="false">(DC_Cost!M47)/CTL_GW</f>
        <v>0.25128176</v>
      </c>
      <c r="N227" s="43" t="n">
        <f aca="false">(DC_Cost!N47)/CTL_GW</f>
        <v>0.4705886016</v>
      </c>
      <c r="O227" s="43" t="n">
        <f aca="false">(DC_Cost!O47)/CTL_GW</f>
        <v>0.138172734</v>
      </c>
      <c r="P227" s="43" t="n">
        <f aca="false">(DC_Cost!P47)/CTL_GW</f>
        <v>0.3137789</v>
      </c>
      <c r="Q227" s="43" t="n">
        <f aca="false">(DC_Cost!Q47)/CTL_GW</f>
        <v>0.653340464</v>
      </c>
      <c r="R227" s="175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28" t="s">
        <v>608</v>
      </c>
      <c r="U227" s="41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2" t="s">
        <v>2634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1" t="s">
        <v>2635</v>
      </c>
      <c r="B228" s="28" t="s">
        <v>1796</v>
      </c>
      <c r="C228" s="43" t="n">
        <f aca="false">(DC_Cost!C48)/CTL_GW</f>
        <v>1.11222553908253</v>
      </c>
      <c r="D228" s="43" t="n">
        <f aca="false">(DC_Cost!D48)/CTL_GW</f>
        <v>1.88466748019734</v>
      </c>
      <c r="E228" s="43" t="n">
        <f aca="false">(DC_Cost!E48)/CTL_GW</f>
        <v>2.8646513532112</v>
      </c>
      <c r="F228" s="43" t="n">
        <f aca="false">(DC_Cost!F48)/CTL_GW</f>
        <v>1.10188330451562</v>
      </c>
      <c r="G228" s="43" t="n">
        <f aca="false">(DC_Cost!G48)/CTL_GW</f>
        <v>1.812232738713</v>
      </c>
      <c r="H228" s="43" t="n">
        <f aca="false">(DC_Cost!H48)/CTL_GW</f>
        <v>2.69481414737547</v>
      </c>
      <c r="I228" s="43" t="n">
        <f aca="false">(DC_Cost!I48)/CTL_GW</f>
        <v>1.20671911367581</v>
      </c>
      <c r="J228" s="43" t="n">
        <f aca="false">(DC_Cost!J48)/CTL_GW</f>
        <v>1.98263481314457</v>
      </c>
      <c r="K228" s="43" t="n">
        <f aca="false">(DC_Cost!K48)/CTL_GW</f>
        <v>3.00013873514752</v>
      </c>
      <c r="L228" s="43" t="n">
        <f aca="false">(DC_Cost!L48)/CTL_GW</f>
        <v>1.26921258843664</v>
      </c>
      <c r="M228" s="43" t="n">
        <f aca="false">(DC_Cost!M48)/CTL_GW</f>
        <v>2.09349554831403</v>
      </c>
      <c r="N228" s="43" t="n">
        <f aca="false">(DC_Cost!N48)/CTL_GW</f>
        <v>3.08819917750912</v>
      </c>
      <c r="O228" s="43" t="n">
        <f aca="false">(DC_Cost!O48)/CTL_GW</f>
        <v>1.30327937103509</v>
      </c>
      <c r="P228" s="43" t="n">
        <f aca="false">(DC_Cost!P48)/CTL_GW</f>
        <v>2.35254632767053</v>
      </c>
      <c r="Q228" s="43" t="n">
        <f aca="false">(DC_Cost!Q48)/CTL_GW</f>
        <v>3.68780273586978</v>
      </c>
      <c r="R228" s="175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28" t="s">
        <v>608</v>
      </c>
      <c r="U228" s="41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2" t="s">
        <v>2636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1" t="s">
        <v>2637</v>
      </c>
      <c r="B229" s="28" t="s">
        <v>1796</v>
      </c>
      <c r="C229" s="206" t="n">
        <f aca="false">C220+C221+C228-C12</f>
        <v>0</v>
      </c>
      <c r="D229" s="206" t="n">
        <f aca="false">D220+D221+D228-D12</f>
        <v>0</v>
      </c>
      <c r="E229" s="206" t="n">
        <f aca="false">E220+E221+E228-E12</f>
        <v>0</v>
      </c>
      <c r="F229" s="206" t="n">
        <f aca="false">F220+F221+F228-F12</f>
        <v>0</v>
      </c>
      <c r="G229" s="206" t="n">
        <f aca="false">G220+G221+G228-G12</f>
        <v>0</v>
      </c>
      <c r="H229" s="206" t="n">
        <f aca="false">H220+H221+H228-H12</f>
        <v>0</v>
      </c>
      <c r="I229" s="206" t="n">
        <f aca="false">I220+I221+I228-I12</f>
        <v>0</v>
      </c>
      <c r="J229" s="206" t="n">
        <f aca="false">J220+J221+J228-J12</f>
        <v>0</v>
      </c>
      <c r="K229" s="206" t="n">
        <f aca="false">K220+K221+K228-K12</f>
        <v>0</v>
      </c>
      <c r="L229" s="206" t="n">
        <f aca="false">L220+L221+L228-L12</f>
        <v>0</v>
      </c>
      <c r="M229" s="206" t="n">
        <f aca="false">M220+M221+M228-M12</f>
        <v>0</v>
      </c>
      <c r="N229" s="206" t="n">
        <f aca="false">N220+N221+N228-N12</f>
        <v>0</v>
      </c>
      <c r="O229" s="206" t="n">
        <f aca="false">O220+O221+O228-O12</f>
        <v>0</v>
      </c>
      <c r="P229" s="206" t="n">
        <f aca="false">P220+P221+P228-P12</f>
        <v>0</v>
      </c>
      <c r="Q229" s="206" t="n">
        <f aca="false">Q220+Q221+Q228-Q12</f>
        <v>0</v>
      </c>
      <c r="R229" s="175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28" t="s">
        <v>608</v>
      </c>
      <c r="U229" s="41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2" t="s">
        <v>2383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0" t="s">
        <v>2638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2639</v>
      </c>
    </row>
    <row r="233" customFormat="false" ht="15" hidden="false" customHeight="true" outlineLevel="0" collapsed="false">
      <c r="A233" s="41" t="s">
        <v>2640</v>
      </c>
      <c r="B233" s="28" t="s">
        <v>1796</v>
      </c>
      <c r="C233" s="207" t="n">
        <f aca="false">IF(ISNUMBER(C101),C101/IF_Util,C101)</f>
        <v>5.95171512707998</v>
      </c>
      <c r="D233" s="207" t="n">
        <f aca="false">IF(ISNUMBER(D101),D101/IF_Util,D101)</f>
        <v>5.95171512707998</v>
      </c>
      <c r="E233" s="207" t="n">
        <f aca="false">IF(ISNUMBER(E101),E101/IF_Util,E101)</f>
        <v>5.95171512707998</v>
      </c>
      <c r="F233" s="207" t="n">
        <f aca="false">IF(ISNUMBER(F101),F101/IF_Util,F101)</f>
        <v>29.1133717558573</v>
      </c>
      <c r="G233" s="207" t="n">
        <f aca="false">IF(ISNUMBER(G101),G101/IF_Util,G101)</f>
        <v>29.1133717558573</v>
      </c>
      <c r="H233" s="207" t="n">
        <f aca="false">IF(ISNUMBER(H101),H101/IF_Util,H101)</f>
        <v>29.1133717558573</v>
      </c>
      <c r="I233" s="207" t="n">
        <f aca="false">IF(ISNUMBER(I101),I101/IF_Util,I101)</f>
        <v>42.3854598701289</v>
      </c>
      <c r="J233" s="207" t="n">
        <f aca="false">IF(ISNUMBER(J101),J101/IF_Util,J101)</f>
        <v>42.3854598701289</v>
      </c>
      <c r="K233" s="207" t="n">
        <f aca="false">IF(ISNUMBER(K101),K101/IF_Util,K101)</f>
        <v>42.3854598701289</v>
      </c>
      <c r="L233" s="207" t="n">
        <f aca="false">IF(ISNUMBER(L101),L101/IF_Util,L101)</f>
        <v>62.0970377331622</v>
      </c>
      <c r="M233" s="207" t="n">
        <f aca="false">IF(ISNUMBER(M101),M101/IF_Util,M101)</f>
        <v>62.0970377331622</v>
      </c>
      <c r="N233" s="207" t="n">
        <f aca="false">IF(ISNUMBER(N101),N101/IF_Util,N101)</f>
        <v>62.0970377331622</v>
      </c>
      <c r="O233" s="207" t="n">
        <f aca="false">IF(ISNUMBER(O101),O101/IF_Util,O101)</f>
        <v>83.9212299203449</v>
      </c>
      <c r="P233" s="207" t="n">
        <f aca="false">IF(ISNUMBER(P101),P101/IF_Util,P101)</f>
        <v>83.9212299203449</v>
      </c>
      <c r="Q233" s="207" t="n">
        <f aca="false">IF(ISNUMBER(Q101),Q101/IF_Util,Q101)</f>
        <v>83.9212299203449</v>
      </c>
      <c r="R23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2389</v>
      </c>
      <c r="U233" s="41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2" t="s">
        <v>2479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1" t="s">
        <v>2641</v>
      </c>
      <c r="B234" s="28" t="s">
        <v>1796</v>
      </c>
      <c r="C234" s="207" t="n">
        <f aca="false">C101</f>
        <v>3.57102907624799</v>
      </c>
      <c r="D234" s="207" t="n">
        <f aca="false">D101</f>
        <v>3.57102907624799</v>
      </c>
      <c r="E234" s="207" t="n">
        <f aca="false">E101</f>
        <v>3.57102907624799</v>
      </c>
      <c r="F234" s="207" t="n">
        <f aca="false">F101</f>
        <v>17.4680230535144</v>
      </c>
      <c r="G234" s="207" t="n">
        <f aca="false">G101</f>
        <v>17.4680230535144</v>
      </c>
      <c r="H234" s="207" t="n">
        <f aca="false">H101</f>
        <v>17.4680230535144</v>
      </c>
      <c r="I234" s="207" t="n">
        <f aca="false">I101</f>
        <v>25.4312759220773</v>
      </c>
      <c r="J234" s="207" t="n">
        <f aca="false">J101</f>
        <v>25.4312759220773</v>
      </c>
      <c r="K234" s="207" t="n">
        <f aca="false">K101</f>
        <v>25.4312759220773</v>
      </c>
      <c r="L234" s="207" t="n">
        <f aca="false">L101</f>
        <v>37.2582226398973</v>
      </c>
      <c r="M234" s="207" t="n">
        <f aca="false">M101</f>
        <v>37.2582226398973</v>
      </c>
      <c r="N234" s="207" t="n">
        <f aca="false">N101</f>
        <v>37.2582226398973</v>
      </c>
      <c r="O234" s="207" t="n">
        <f aca="false">O101</f>
        <v>50.3527379522069</v>
      </c>
      <c r="P234" s="207" t="n">
        <f aca="false">P101</f>
        <v>50.3527379522069</v>
      </c>
      <c r="Q234" s="207" t="n">
        <f aca="false">Q101</f>
        <v>50.3527379522069</v>
      </c>
      <c r="R23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2414</v>
      </c>
      <c r="U234" s="41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2" t="s">
        <v>2479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1" t="s">
        <v>2642</v>
      </c>
      <c r="B235" s="28" t="s">
        <v>1796</v>
      </c>
      <c r="C235" s="207" t="n">
        <f aca="false">C207</f>
        <v>2.44762339054934</v>
      </c>
      <c r="D235" s="207" t="n">
        <f aca="false">D207</f>
        <v>2.44762339054934</v>
      </c>
      <c r="E235" s="207" t="n">
        <f aca="false">E207</f>
        <v>2.44762339054934</v>
      </c>
      <c r="F235" s="207" t="n">
        <f aca="false">F207</f>
        <v>13.6555857459493</v>
      </c>
      <c r="G235" s="207" t="n">
        <f aca="false">G207</f>
        <v>13.6555857459493</v>
      </c>
      <c r="H235" s="207" t="n">
        <f aca="false">H207</f>
        <v>13.6555857459493</v>
      </c>
      <c r="I235" s="207" t="n">
        <f aca="false">I207</f>
        <v>19.8808398591479</v>
      </c>
      <c r="J235" s="207" t="n">
        <f aca="false">J207</f>
        <v>19.8808398591479</v>
      </c>
      <c r="K235" s="207" t="n">
        <f aca="false">K207</f>
        <v>19.8808398591479</v>
      </c>
      <c r="L235" s="207" t="n">
        <f aca="false">L207</f>
        <v>29.3255549100997</v>
      </c>
      <c r="M235" s="207" t="n">
        <f aca="false">M207</f>
        <v>29.3255549100997</v>
      </c>
      <c r="N235" s="207" t="n">
        <f aca="false">N207</f>
        <v>29.3255549100997</v>
      </c>
      <c r="O235" s="207" t="n">
        <f aca="false">O207</f>
        <v>39.6992397829504</v>
      </c>
      <c r="P235" s="207" t="n">
        <f aca="false">P207</f>
        <v>39.6992397829504</v>
      </c>
      <c r="Q235" s="207" t="n">
        <f aca="false">Q207</f>
        <v>39.6992397829504</v>
      </c>
      <c r="R23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2600</v>
      </c>
      <c r="U235" s="41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2" t="s">
        <v>2605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1" t="s">
        <v>2643</v>
      </c>
      <c r="B236" s="28" t="s">
        <v>1796</v>
      </c>
      <c r="C236" s="207" t="n">
        <f aca="false">IF(ISNUMBER(C235),C235*CTL_PriceLife*CTL_Monetize,C235)</f>
        <v>2.44762339054934</v>
      </c>
      <c r="D236" s="207" t="n">
        <f aca="false">IF(ISNUMBER(D235),D235*CTL_PriceLife*CTL_Monetize,D235)</f>
        <v>2.44762339054934</v>
      </c>
      <c r="E236" s="207" t="n">
        <f aca="false">IF(ISNUMBER(E235),E235*CTL_PriceLife*CTL_Monetize,E235)</f>
        <v>2.44762339054934</v>
      </c>
      <c r="F236" s="207" t="n">
        <f aca="false">IF(ISNUMBER(F235),F235*CTL_PriceLife*CTL_Monetize,F235)</f>
        <v>13.6555857459493</v>
      </c>
      <c r="G236" s="207" t="n">
        <f aca="false">IF(ISNUMBER(G235),G235*CTL_PriceLife*CTL_Monetize,G235)</f>
        <v>13.6555857459493</v>
      </c>
      <c r="H236" s="207" t="n">
        <f aca="false">IF(ISNUMBER(H235),H235*CTL_PriceLife*CTL_Monetize,H235)</f>
        <v>13.6555857459493</v>
      </c>
      <c r="I236" s="207" t="n">
        <f aca="false">IF(ISNUMBER(I235),I235*CTL_PriceLife*CTL_Monetize,I235)</f>
        <v>19.8808398591479</v>
      </c>
      <c r="J236" s="207" t="n">
        <f aca="false">IF(ISNUMBER(J235),J235*CTL_PriceLife*CTL_Monetize,J235)</f>
        <v>19.8808398591479</v>
      </c>
      <c r="K236" s="207" t="n">
        <f aca="false">IF(ISNUMBER(K235),K235*CTL_PriceLife*CTL_Monetize,K235)</f>
        <v>19.8808398591479</v>
      </c>
      <c r="L236" s="207" t="n">
        <f aca="false">IF(ISNUMBER(L235),L235*CTL_PriceLife*CTL_Monetize,L235)</f>
        <v>29.3255549100997</v>
      </c>
      <c r="M236" s="207" t="n">
        <f aca="false">IF(ISNUMBER(M235),M235*CTL_PriceLife*CTL_Monetize,M235)</f>
        <v>29.3255549100997</v>
      </c>
      <c r="N236" s="207" t="n">
        <f aca="false">IF(ISNUMBER(N235),N235*CTL_PriceLife*CTL_Monetize,N235)</f>
        <v>29.3255549100997</v>
      </c>
      <c r="O236" s="207" t="n">
        <f aca="false">IF(ISNUMBER(O235),O235*CTL_PriceLife*CTL_Monetize,O235)</f>
        <v>39.6992397829504</v>
      </c>
      <c r="P236" s="207" t="n">
        <f aca="false">IF(ISNUMBER(P235),P235*CTL_PriceLife*CTL_Monetize,P235)</f>
        <v>39.6992397829504</v>
      </c>
      <c r="Q236" s="207" t="n">
        <f aca="false">IF(ISNUMBER(Q235),Q235*CTL_PriceLife*CTL_Monetize,Q235)</f>
        <v>39.6992397829504</v>
      </c>
      <c r="R23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2612</v>
      </c>
      <c r="U236" s="41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2" t="s">
        <v>2613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2639</v>
      </c>
    </row>
    <row r="238" customFormat="false" ht="15" hidden="false" customHeight="true" outlineLevel="0" collapsed="false">
      <c r="A238" s="41" t="s">
        <v>2644</v>
      </c>
      <c r="B238" s="28" t="s">
        <v>1796</v>
      </c>
      <c r="C238" s="207" t="n">
        <f aca="false">IF(ISNUMBER(C119),C119/IF_Util,C119)</f>
        <v>34.5375083299961</v>
      </c>
      <c r="D238" s="207" t="n">
        <f aca="false">IF(ISNUMBER(D119),D119/IF_Util,D119)</f>
        <v>34.5375083299961</v>
      </c>
      <c r="E238" s="207" t="n">
        <f aca="false">IF(ISNUMBER(E119),E119/IF_Util,E119)</f>
        <v>34.5375083299961</v>
      </c>
      <c r="F238" s="207" t="n">
        <f aca="false">IF(ISNUMBER(F119),F119/IF_Util,F119)</f>
        <v>167.34108902564</v>
      </c>
      <c r="G238" s="207" t="n">
        <f aca="false">IF(ISNUMBER(G119),G119/IF_Util,G119)</f>
        <v>167.34108902564</v>
      </c>
      <c r="H238" s="207" t="n">
        <f aca="false">IF(ISNUMBER(H119),H119/IF_Util,H119)</f>
        <v>167.34108902564</v>
      </c>
      <c r="I238" s="207" t="n">
        <f aca="false">IF(ISNUMBER(I119),I119/IF_Util,I119)</f>
        <v>243.627879072198</v>
      </c>
      <c r="J238" s="207" t="n">
        <f aca="false">IF(ISNUMBER(J119),J119/IF_Util,J119)</f>
        <v>243.627879072198</v>
      </c>
      <c r="K238" s="207" t="n">
        <f aca="false">IF(ISNUMBER(K119),K119/IF_Util,K119)</f>
        <v>243.627879072198</v>
      </c>
      <c r="L238" s="207" t="n">
        <f aca="false">IF(ISNUMBER(L119),L119/IF_Util,L119)</f>
        <v>381.347118606988</v>
      </c>
      <c r="M238" s="207" t="n">
        <f aca="false">IF(ISNUMBER(M119),M119/IF_Util,M119)</f>
        <v>381.347118606988</v>
      </c>
      <c r="N238" s="207" t="n">
        <f aca="false">IF(ISNUMBER(N119),N119/IF_Util,N119)</f>
        <v>381.347118606988</v>
      </c>
      <c r="O238" s="207" t="n">
        <f aca="false">IF(ISNUMBER(O119),O119/IF_Util,O119)</f>
        <v>524.216615381698</v>
      </c>
      <c r="P238" s="207" t="n">
        <f aca="false">IF(ISNUMBER(P119),P119/IF_Util,P119)</f>
        <v>524.216615381698</v>
      </c>
      <c r="Q238" s="207" t="n">
        <f aca="false">IF(ISNUMBER(Q119),Q119/IF_Util,Q119)</f>
        <v>524.216615381698</v>
      </c>
      <c r="R23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2389</v>
      </c>
      <c r="U238" s="41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2" t="s">
        <v>2479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1" t="s">
        <v>2645</v>
      </c>
      <c r="B239" s="28" t="s">
        <v>1796</v>
      </c>
      <c r="C239" s="207" t="n">
        <f aca="false">C119</f>
        <v>20.7225049979976</v>
      </c>
      <c r="D239" s="207" t="n">
        <f aca="false">D119</f>
        <v>20.7225049979976</v>
      </c>
      <c r="E239" s="207" t="n">
        <f aca="false">E119</f>
        <v>20.7225049979976</v>
      </c>
      <c r="F239" s="207" t="n">
        <f aca="false">F119</f>
        <v>100.404653415384</v>
      </c>
      <c r="G239" s="207" t="n">
        <f aca="false">G119</f>
        <v>100.404653415384</v>
      </c>
      <c r="H239" s="207" t="n">
        <f aca="false">H119</f>
        <v>100.404653415384</v>
      </c>
      <c r="I239" s="207" t="n">
        <f aca="false">I119</f>
        <v>146.176727443319</v>
      </c>
      <c r="J239" s="207" t="n">
        <f aca="false">J119</f>
        <v>146.176727443319</v>
      </c>
      <c r="K239" s="207" t="n">
        <f aca="false">K119</f>
        <v>146.176727443319</v>
      </c>
      <c r="L239" s="207" t="n">
        <f aca="false">L119</f>
        <v>228.808271164193</v>
      </c>
      <c r="M239" s="207" t="n">
        <f aca="false">M119</f>
        <v>228.808271164193</v>
      </c>
      <c r="N239" s="207" t="n">
        <f aca="false">N119</f>
        <v>228.808271164193</v>
      </c>
      <c r="O239" s="207" t="n">
        <f aca="false">O119</f>
        <v>314.529969229019</v>
      </c>
      <c r="P239" s="207" t="n">
        <f aca="false">P119</f>
        <v>314.529969229019</v>
      </c>
      <c r="Q239" s="207" t="n">
        <f aca="false">Q119</f>
        <v>314.529969229019</v>
      </c>
      <c r="R23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2414</v>
      </c>
      <c r="U239" s="41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2" t="s">
        <v>2479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1" t="s">
        <v>2646</v>
      </c>
      <c r="B240" s="28" t="s">
        <v>1796</v>
      </c>
      <c r="C240" s="207" t="n">
        <f aca="false">C208</f>
        <v>15.1336974133362</v>
      </c>
      <c r="D240" s="207" t="n">
        <f aca="false">D208</f>
        <v>15.1336974133362</v>
      </c>
      <c r="E240" s="207" t="n">
        <f aca="false">E208</f>
        <v>15.1336974133362</v>
      </c>
      <c r="F240" s="207" t="n">
        <f aca="false">F208</f>
        <v>80.1519532436076</v>
      </c>
      <c r="G240" s="207" t="n">
        <f aca="false">G208</f>
        <v>80.1519532436076</v>
      </c>
      <c r="H240" s="207" t="n">
        <f aca="false">H208</f>
        <v>80.1519532436076</v>
      </c>
      <c r="I240" s="207" t="n">
        <f aca="false">I208</f>
        <v>116.69130687468</v>
      </c>
      <c r="J240" s="207" t="n">
        <f aca="false">J208</f>
        <v>116.69130687468</v>
      </c>
      <c r="K240" s="207" t="n">
        <f aca="false">K208</f>
        <v>116.69130687468</v>
      </c>
      <c r="L240" s="207" t="n">
        <f aca="false">L208</f>
        <v>184.79597204631</v>
      </c>
      <c r="M240" s="207" t="n">
        <f aca="false">M208</f>
        <v>184.79597204631</v>
      </c>
      <c r="N240" s="207" t="n">
        <f aca="false">N208</f>
        <v>184.79597204631</v>
      </c>
      <c r="O240" s="207" t="n">
        <f aca="false">O208</f>
        <v>254.725350558298</v>
      </c>
      <c r="P240" s="207" t="n">
        <f aca="false">P208</f>
        <v>254.725350558298</v>
      </c>
      <c r="Q240" s="207" t="n">
        <f aca="false">Q208</f>
        <v>254.725350558298</v>
      </c>
      <c r="R24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2600</v>
      </c>
      <c r="U240" s="41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2" t="s">
        <v>2605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1" t="s">
        <v>2647</v>
      </c>
      <c r="B241" s="28" t="s">
        <v>1796</v>
      </c>
      <c r="C241" s="207" t="n">
        <f aca="false">IF(ISNUMBER(C240),C240*CTL_PriceLife*CTL_Monetize,C240)</f>
        <v>15.1336974133362</v>
      </c>
      <c r="D241" s="207" t="n">
        <f aca="false">IF(ISNUMBER(D240),D240*CTL_PriceLife*CTL_Monetize,D240)</f>
        <v>15.1336974133362</v>
      </c>
      <c r="E241" s="207" t="n">
        <f aca="false">IF(ISNUMBER(E240),E240*CTL_PriceLife*CTL_Monetize,E240)</f>
        <v>15.1336974133362</v>
      </c>
      <c r="F241" s="207" t="n">
        <f aca="false">IF(ISNUMBER(F240),F240*CTL_PriceLife*CTL_Monetize,F240)</f>
        <v>80.1519532436076</v>
      </c>
      <c r="G241" s="207" t="n">
        <f aca="false">IF(ISNUMBER(G240),G240*CTL_PriceLife*CTL_Monetize,G240)</f>
        <v>80.1519532436076</v>
      </c>
      <c r="H241" s="207" t="n">
        <f aca="false">IF(ISNUMBER(H240),H240*CTL_PriceLife*CTL_Monetize,H240)</f>
        <v>80.1519532436076</v>
      </c>
      <c r="I241" s="207" t="n">
        <f aca="false">IF(ISNUMBER(I240),I240*CTL_PriceLife*CTL_Monetize,I240)</f>
        <v>116.69130687468</v>
      </c>
      <c r="J241" s="207" t="n">
        <f aca="false">IF(ISNUMBER(J240),J240*CTL_PriceLife*CTL_Monetize,J240)</f>
        <v>116.69130687468</v>
      </c>
      <c r="K241" s="207" t="n">
        <f aca="false">IF(ISNUMBER(K240),K240*CTL_PriceLife*CTL_Monetize,K240)</f>
        <v>116.69130687468</v>
      </c>
      <c r="L241" s="207" t="n">
        <f aca="false">IF(ISNUMBER(L240),L240*CTL_PriceLife*CTL_Monetize,L240)</f>
        <v>184.79597204631</v>
      </c>
      <c r="M241" s="207" t="n">
        <f aca="false">IF(ISNUMBER(M240),M240*CTL_PriceLife*CTL_Monetize,M240)</f>
        <v>184.79597204631</v>
      </c>
      <c r="N241" s="207" t="n">
        <f aca="false">IF(ISNUMBER(N240),N240*CTL_PriceLife*CTL_Monetize,N240)</f>
        <v>184.79597204631</v>
      </c>
      <c r="O241" s="207" t="n">
        <f aca="false">IF(ISNUMBER(O240),O240*CTL_PriceLife*CTL_Monetize,O240)</f>
        <v>254.725350558298</v>
      </c>
      <c r="P241" s="207" t="n">
        <f aca="false">IF(ISNUMBER(P240),P240*CTL_PriceLife*CTL_Monetize,P240)</f>
        <v>254.725350558298</v>
      </c>
      <c r="Q241" s="207" t="n">
        <f aca="false">IF(ISNUMBER(Q240),Q240*CTL_PriceLife*CTL_Monetize,Q240)</f>
        <v>254.725350558298</v>
      </c>
      <c r="R241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2612</v>
      </c>
      <c r="U241" s="41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2" t="s">
        <v>2613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2639</v>
      </c>
    </row>
    <row r="243" customFormat="false" ht="15" hidden="false" customHeight="true" outlineLevel="0" collapsed="false">
      <c r="A243" s="41" t="s">
        <v>2648</v>
      </c>
      <c r="B243" s="28" t="s">
        <v>1796</v>
      </c>
      <c r="C243" s="207" t="n">
        <f aca="false">IF(ISNUMBER(C137),C137/IF_Util,C137)</f>
        <v>31.1499781291377</v>
      </c>
      <c r="D243" s="207" t="n">
        <f aca="false">IF(ISNUMBER(D137),D137/IF_Util,D137)</f>
        <v>31.1499781291377</v>
      </c>
      <c r="E243" s="207" t="n">
        <f aca="false">IF(ISNUMBER(E137),E137/IF_Util,E137)</f>
        <v>31.1499781291377</v>
      </c>
      <c r="F243" s="207" t="n">
        <f aca="false">IF(ISNUMBER(F137),F137/IF_Util,F137)</f>
        <v>161.047308022036</v>
      </c>
      <c r="G243" s="207" t="n">
        <f aca="false">IF(ISNUMBER(G137),G137/IF_Util,G137)</f>
        <v>161.047308022036</v>
      </c>
      <c r="H243" s="207" t="n">
        <f aca="false">IF(ISNUMBER(H137),H137/IF_Util,H137)</f>
        <v>161.047308022036</v>
      </c>
      <c r="I243" s="207" t="n">
        <f aca="false">IF(ISNUMBER(I137),I137/IF_Util,I137)</f>
        <v>194.735562009066</v>
      </c>
      <c r="J243" s="207" t="n">
        <f aca="false">IF(ISNUMBER(J137),J137/IF_Util,J137)</f>
        <v>194.735562009066</v>
      </c>
      <c r="K243" s="207" t="n">
        <f aca="false">IF(ISNUMBER(K137),K137/IF_Util,K137)</f>
        <v>194.735562009066</v>
      </c>
      <c r="L243" s="207" t="n">
        <f aca="false">IF(ISNUMBER(L137),L137/IF_Util,L137)</f>
        <v>411.162427187643</v>
      </c>
      <c r="M243" s="207" t="n">
        <f aca="false">IF(ISNUMBER(M137),M137/IF_Util,M137)</f>
        <v>411.162427187643</v>
      </c>
      <c r="N243" s="207" t="n">
        <f aca="false">IF(ISNUMBER(N137),N137/IF_Util,N137)</f>
        <v>411.162427187643</v>
      </c>
      <c r="O243" s="207" t="n">
        <f aca="false">IF(ISNUMBER(O137),O137/IF_Util,O137)</f>
        <v>597.853015258317</v>
      </c>
      <c r="P243" s="207" t="n">
        <f aca="false">IF(ISNUMBER(P137),P137/IF_Util,P137)</f>
        <v>597.853015258317</v>
      </c>
      <c r="Q243" s="207" t="n">
        <f aca="false">IF(ISNUMBER(Q137),Q137/IF_Util,Q137)</f>
        <v>597.853015258317</v>
      </c>
      <c r="R24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2389</v>
      </c>
      <c r="U243" s="41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2" t="s">
        <v>2479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1" t="s">
        <v>2649</v>
      </c>
      <c r="B244" s="28" t="s">
        <v>1796</v>
      </c>
      <c r="C244" s="207" t="n">
        <f aca="false">C137</f>
        <v>18.6899868774826</v>
      </c>
      <c r="D244" s="207" t="n">
        <f aca="false">D137</f>
        <v>18.6899868774826</v>
      </c>
      <c r="E244" s="207" t="n">
        <f aca="false">E137</f>
        <v>18.6899868774826</v>
      </c>
      <c r="F244" s="207" t="n">
        <f aca="false">F137</f>
        <v>96.6283848132214</v>
      </c>
      <c r="G244" s="207" t="n">
        <f aca="false">G137</f>
        <v>96.6283848132214</v>
      </c>
      <c r="H244" s="207" t="n">
        <f aca="false">H137</f>
        <v>96.6283848132214</v>
      </c>
      <c r="I244" s="207" t="n">
        <f aca="false">I137</f>
        <v>116.841337205439</v>
      </c>
      <c r="J244" s="207" t="n">
        <f aca="false">J137</f>
        <v>116.841337205439</v>
      </c>
      <c r="K244" s="207" t="n">
        <f aca="false">K137</f>
        <v>116.841337205439</v>
      </c>
      <c r="L244" s="207" t="n">
        <f aca="false">L137</f>
        <v>246.697456312585</v>
      </c>
      <c r="M244" s="207" t="n">
        <f aca="false">M137</f>
        <v>246.697456312585</v>
      </c>
      <c r="N244" s="207" t="n">
        <f aca="false">N137</f>
        <v>246.697456312585</v>
      </c>
      <c r="O244" s="207" t="n">
        <f aca="false">O137</f>
        <v>358.71180915499</v>
      </c>
      <c r="P244" s="207" t="n">
        <f aca="false">P137</f>
        <v>358.71180915499</v>
      </c>
      <c r="Q244" s="207" t="n">
        <f aca="false">Q137</f>
        <v>358.71180915499</v>
      </c>
      <c r="R24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2414</v>
      </c>
      <c r="U244" s="41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2" t="s">
        <v>2479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1" t="s">
        <v>2650</v>
      </c>
      <c r="B245" s="28" t="s">
        <v>1796</v>
      </c>
      <c r="C245" s="207" t="n">
        <f aca="false">C209</f>
        <v>9.08886774488705</v>
      </c>
      <c r="D245" s="207" t="n">
        <f aca="false">D209</f>
        <v>9.08886774488705</v>
      </c>
      <c r="E245" s="207" t="n">
        <f aca="false">E209</f>
        <v>9.08886774488705</v>
      </c>
      <c r="F245" s="207" t="n">
        <f aca="false">F209</f>
        <v>70.8060260045462</v>
      </c>
      <c r="G245" s="207" t="n">
        <f aca="false">G209</f>
        <v>70.8060260045462</v>
      </c>
      <c r="H245" s="207" t="n">
        <f aca="false">H209</f>
        <v>70.8060260045462</v>
      </c>
      <c r="I245" s="207" t="n">
        <f aca="false">I209</f>
        <v>81.6810591163036</v>
      </c>
      <c r="J245" s="207" t="n">
        <f aca="false">J209</f>
        <v>81.6810591163036</v>
      </c>
      <c r="K245" s="207" t="n">
        <f aca="false">K209</f>
        <v>81.6810591163036</v>
      </c>
      <c r="L245" s="207" t="n">
        <f aca="false">L209</f>
        <v>188.934678809326</v>
      </c>
      <c r="M245" s="207" t="n">
        <f aca="false">M209</f>
        <v>188.934678809326</v>
      </c>
      <c r="N245" s="207" t="n">
        <f aca="false">N209</f>
        <v>188.934678809326</v>
      </c>
      <c r="O245" s="207" t="n">
        <f aca="false">O209</f>
        <v>278.482692813541</v>
      </c>
      <c r="P245" s="207" t="n">
        <f aca="false">P209</f>
        <v>278.482692813541</v>
      </c>
      <c r="Q245" s="207" t="n">
        <f aca="false">Q209</f>
        <v>278.482692813541</v>
      </c>
      <c r="R24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2600</v>
      </c>
      <c r="U245" s="41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2" t="s">
        <v>2605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1" t="s">
        <v>2651</v>
      </c>
      <c r="B246" s="28" t="s">
        <v>1796</v>
      </c>
      <c r="C246" s="207" t="n">
        <f aca="false">IF(ISNUMBER(C245),C245*CTL_PriceLife*CTL_Monetize,C245)</f>
        <v>9.08886774488705</v>
      </c>
      <c r="D246" s="207" t="n">
        <f aca="false">IF(ISNUMBER(D245),D245*CTL_PriceLife*CTL_Monetize,D245)</f>
        <v>9.08886774488705</v>
      </c>
      <c r="E246" s="207" t="n">
        <f aca="false">IF(ISNUMBER(E245),E245*CTL_PriceLife*CTL_Monetize,E245)</f>
        <v>9.08886774488705</v>
      </c>
      <c r="F246" s="207" t="n">
        <f aca="false">IF(ISNUMBER(F245),F245*CTL_PriceLife*CTL_Monetize,F245)</f>
        <v>70.8060260045462</v>
      </c>
      <c r="G246" s="207" t="n">
        <f aca="false">IF(ISNUMBER(G245),G245*CTL_PriceLife*CTL_Monetize,G245)</f>
        <v>70.8060260045462</v>
      </c>
      <c r="H246" s="207" t="n">
        <f aca="false">IF(ISNUMBER(H245),H245*CTL_PriceLife*CTL_Monetize,H245)</f>
        <v>70.8060260045462</v>
      </c>
      <c r="I246" s="207" t="n">
        <f aca="false">IF(ISNUMBER(I245),I245*CTL_PriceLife*CTL_Monetize,I245)</f>
        <v>81.6810591163036</v>
      </c>
      <c r="J246" s="207" t="n">
        <f aca="false">IF(ISNUMBER(J245),J245*CTL_PriceLife*CTL_Monetize,J245)</f>
        <v>81.6810591163036</v>
      </c>
      <c r="K246" s="207" t="n">
        <f aca="false">IF(ISNUMBER(K245),K245*CTL_PriceLife*CTL_Monetize,K245)</f>
        <v>81.6810591163036</v>
      </c>
      <c r="L246" s="207" t="n">
        <f aca="false">IF(ISNUMBER(L245),L245*CTL_PriceLife*CTL_Monetize,L245)</f>
        <v>188.934678809326</v>
      </c>
      <c r="M246" s="207" t="n">
        <f aca="false">IF(ISNUMBER(M245),M245*CTL_PriceLife*CTL_Monetize,M245)</f>
        <v>188.934678809326</v>
      </c>
      <c r="N246" s="207" t="n">
        <f aca="false">IF(ISNUMBER(N245),N245*CTL_PriceLife*CTL_Monetize,N245)</f>
        <v>188.934678809326</v>
      </c>
      <c r="O246" s="207" t="n">
        <f aca="false">IF(ISNUMBER(O245),O245*CTL_PriceLife*CTL_Monetize,O245)</f>
        <v>278.482692813541</v>
      </c>
      <c r="P246" s="207" t="n">
        <f aca="false">IF(ISNUMBER(P245),P245*CTL_PriceLife*CTL_Monetize,P245)</f>
        <v>278.482692813541</v>
      </c>
      <c r="Q246" s="207" t="n">
        <f aca="false">IF(ISNUMBER(Q245),Q245*CTL_PriceLife*CTL_Monetize,Q245)</f>
        <v>278.482692813541</v>
      </c>
      <c r="R24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2612</v>
      </c>
      <c r="U246" s="41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2" t="s">
        <v>2613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2652</v>
      </c>
    </row>
    <row r="248" customFormat="false" ht="15" hidden="false" customHeight="true" outlineLevel="0" collapsed="false">
      <c r="A248" s="41" t="s">
        <v>2653</v>
      </c>
      <c r="B248" s="28" t="s">
        <v>1796</v>
      </c>
      <c r="C248" s="207" t="n">
        <f aca="false">IF(ISNUMBER(C143),C143/IF_Util,C143)</f>
        <v>6.67481291645273</v>
      </c>
      <c r="D248" s="207" t="n">
        <f aca="false">IF(ISNUMBER(D143),D143/IF_Util,D143)</f>
        <v>6.67481291645273</v>
      </c>
      <c r="E248" s="207" t="n">
        <f aca="false">IF(ISNUMBER(E143),E143/IF_Util,E143)</f>
        <v>6.67481291645273</v>
      </c>
      <c r="F248" s="207" t="n">
        <f aca="false">IF(ISNUMBER(F143),F143/IF_Util,F143)</f>
        <v>33.6243597685213</v>
      </c>
      <c r="G248" s="207" t="n">
        <f aca="false">IF(ISNUMBER(G143),G143/IF_Util,G143)</f>
        <v>33.6243597685213</v>
      </c>
      <c r="H248" s="207" t="n">
        <f aca="false">IF(ISNUMBER(H143),H143/IF_Util,H143)</f>
        <v>33.6243597685213</v>
      </c>
      <c r="I248" s="207" t="n">
        <f aca="false">IF(ISNUMBER(I143),I143/IF_Util,I143)</f>
        <v>43.7753928327944</v>
      </c>
      <c r="J248" s="207" t="n">
        <f aca="false">IF(ISNUMBER(J143),J143/IF_Util,J143)</f>
        <v>43.7753928327944</v>
      </c>
      <c r="K248" s="207" t="n">
        <f aca="false">IF(ISNUMBER(K143),K143/IF_Util,K143)</f>
        <v>43.7753928327944</v>
      </c>
      <c r="L248" s="207" t="n">
        <f aca="false">IF(ISNUMBER(L143),L143/IF_Util,L143)</f>
        <v>81.2061699399891</v>
      </c>
      <c r="M248" s="207" t="n">
        <f aca="false">IF(ISNUMBER(M143),M143/IF_Util,M143)</f>
        <v>81.2061699399891</v>
      </c>
      <c r="N248" s="207" t="n">
        <f aca="false">IF(ISNUMBER(N143),N143/IF_Util,N143)</f>
        <v>81.2061699399891</v>
      </c>
      <c r="O248" s="207" t="n">
        <f aca="false">IF(ISNUMBER(O143),O143/IF_Util,O143)</f>
        <v>114.879376192016</v>
      </c>
      <c r="P248" s="207" t="n">
        <f aca="false">IF(ISNUMBER(P143),P143/IF_Util,P143)</f>
        <v>114.879376192016</v>
      </c>
      <c r="Q248" s="207" t="n">
        <f aca="false">IF(ISNUMBER(Q143),Q143/IF_Util,Q143)</f>
        <v>114.879376192016</v>
      </c>
      <c r="R24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2389</v>
      </c>
      <c r="U248" s="41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2" t="s">
        <v>2519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1" t="s">
        <v>2654</v>
      </c>
      <c r="B249" s="28" t="s">
        <v>1796</v>
      </c>
      <c r="C249" s="207" t="n">
        <f aca="false">C143</f>
        <v>4.00488774987164</v>
      </c>
      <c r="D249" s="207" t="n">
        <f aca="false">D143</f>
        <v>4.00488774987164</v>
      </c>
      <c r="E249" s="207" t="n">
        <f aca="false">E143</f>
        <v>4.00488774987164</v>
      </c>
      <c r="F249" s="207" t="n">
        <f aca="false">F143</f>
        <v>20.1746158611128</v>
      </c>
      <c r="G249" s="207" t="n">
        <f aca="false">G143</f>
        <v>20.1746158611128</v>
      </c>
      <c r="H249" s="207" t="n">
        <f aca="false">H143</f>
        <v>20.1746158611128</v>
      </c>
      <c r="I249" s="207" t="n">
        <f aca="false">I143</f>
        <v>26.2652356996766</v>
      </c>
      <c r="J249" s="207" t="n">
        <f aca="false">J143</f>
        <v>26.2652356996766</v>
      </c>
      <c r="K249" s="207" t="n">
        <f aca="false">K143</f>
        <v>26.2652356996766</v>
      </c>
      <c r="L249" s="207" t="n">
        <f aca="false">L143</f>
        <v>48.7237019639935</v>
      </c>
      <c r="M249" s="207" t="n">
        <f aca="false">M143</f>
        <v>48.7237019639935</v>
      </c>
      <c r="N249" s="207" t="n">
        <f aca="false">N143</f>
        <v>48.7237019639935</v>
      </c>
      <c r="O249" s="207" t="n">
        <f aca="false">O143</f>
        <v>68.9276257152094</v>
      </c>
      <c r="P249" s="207" t="n">
        <f aca="false">P143</f>
        <v>68.9276257152094</v>
      </c>
      <c r="Q249" s="207" t="n">
        <f aca="false">Q143</f>
        <v>68.9276257152094</v>
      </c>
      <c r="R24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2414</v>
      </c>
      <c r="U249" s="41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2" t="s">
        <v>2519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1" t="s">
        <v>2655</v>
      </c>
      <c r="B250" s="28" t="s">
        <v>1796</v>
      </c>
      <c r="C250" s="207" t="n">
        <f aca="false">C210</f>
        <v>2.24296199760285</v>
      </c>
      <c r="D250" s="207" t="n">
        <f aca="false">D210</f>
        <v>2.24296199760285</v>
      </c>
      <c r="E250" s="207" t="n">
        <f aca="false">E210</f>
        <v>2.24296199760285</v>
      </c>
      <c r="F250" s="207" t="n">
        <f aca="false">F210</f>
        <v>15.2851605558118</v>
      </c>
      <c r="G250" s="207" t="n">
        <f aca="false">G210</f>
        <v>15.2851605558118</v>
      </c>
      <c r="H250" s="207" t="n">
        <f aca="false">H210</f>
        <v>15.2851605558118</v>
      </c>
      <c r="I250" s="207" t="n">
        <f aca="false">I210</f>
        <v>19.2324652424837</v>
      </c>
      <c r="J250" s="207" t="n">
        <f aca="false">J210</f>
        <v>19.2324652424837</v>
      </c>
      <c r="K250" s="207" t="n">
        <f aca="false">K210</f>
        <v>19.2324652424837</v>
      </c>
      <c r="L250" s="207" t="n">
        <f aca="false">L210</f>
        <v>38.1145472754025</v>
      </c>
      <c r="M250" s="207" t="n">
        <f aca="false">M210</f>
        <v>38.1145472754025</v>
      </c>
      <c r="N250" s="207" t="n">
        <f aca="false">N210</f>
        <v>38.1145472754025</v>
      </c>
      <c r="O250" s="207" t="n">
        <f aca="false">O210</f>
        <v>54.4181760054532</v>
      </c>
      <c r="P250" s="207" t="n">
        <f aca="false">P210</f>
        <v>54.4181760054532</v>
      </c>
      <c r="Q250" s="207" t="n">
        <f aca="false">Q210</f>
        <v>54.4181760054532</v>
      </c>
      <c r="R25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2600</v>
      </c>
      <c r="U250" s="41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2" t="s">
        <v>2609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1" t="s">
        <v>2656</v>
      </c>
      <c r="B251" s="28" t="s">
        <v>1796</v>
      </c>
      <c r="C251" s="207" t="n">
        <f aca="false">IF(ISNUMBER(C250),C250*CTL_PriceLife*CTL_Monetize,C250)</f>
        <v>2.24296199760285</v>
      </c>
      <c r="D251" s="207" t="n">
        <f aca="false">IF(ISNUMBER(D250),D250*CTL_PriceLife*CTL_Monetize,D250)</f>
        <v>2.24296199760285</v>
      </c>
      <c r="E251" s="207" t="n">
        <f aca="false">IF(ISNUMBER(E250),E250*CTL_PriceLife*CTL_Monetize,E250)</f>
        <v>2.24296199760285</v>
      </c>
      <c r="F251" s="207" t="n">
        <f aca="false">IF(ISNUMBER(F250),F250*CTL_PriceLife*CTL_Monetize,F250)</f>
        <v>15.2851605558118</v>
      </c>
      <c r="G251" s="207" t="n">
        <f aca="false">IF(ISNUMBER(G250),G250*CTL_PriceLife*CTL_Monetize,G250)</f>
        <v>15.2851605558118</v>
      </c>
      <c r="H251" s="207" t="n">
        <f aca="false">IF(ISNUMBER(H250),H250*CTL_PriceLife*CTL_Monetize,H250)</f>
        <v>15.2851605558118</v>
      </c>
      <c r="I251" s="207" t="n">
        <f aca="false">IF(ISNUMBER(I250),I250*CTL_PriceLife*CTL_Monetize,I250)</f>
        <v>19.2324652424837</v>
      </c>
      <c r="J251" s="207" t="n">
        <f aca="false">IF(ISNUMBER(J250),J250*CTL_PriceLife*CTL_Monetize,J250)</f>
        <v>19.2324652424837</v>
      </c>
      <c r="K251" s="207" t="n">
        <f aca="false">IF(ISNUMBER(K250),K250*CTL_PriceLife*CTL_Monetize,K250)</f>
        <v>19.2324652424837</v>
      </c>
      <c r="L251" s="207" t="n">
        <f aca="false">IF(ISNUMBER(L250),L250*CTL_PriceLife*CTL_Monetize,L250)</f>
        <v>38.1145472754025</v>
      </c>
      <c r="M251" s="207" t="n">
        <f aca="false">IF(ISNUMBER(M250),M250*CTL_PriceLife*CTL_Monetize,M250)</f>
        <v>38.1145472754025</v>
      </c>
      <c r="N251" s="207" t="n">
        <f aca="false">IF(ISNUMBER(N250),N250*CTL_PriceLife*CTL_Monetize,N250)</f>
        <v>38.1145472754025</v>
      </c>
      <c r="O251" s="207" t="n">
        <f aca="false">IF(ISNUMBER(O250),O250*CTL_PriceLife*CTL_Monetize,O250)</f>
        <v>54.4181760054532</v>
      </c>
      <c r="P251" s="207" t="n">
        <f aca="false">IF(ISNUMBER(P250),P250*CTL_PriceLife*CTL_Monetize,P250)</f>
        <v>54.4181760054532</v>
      </c>
      <c r="Q251" s="207" t="n">
        <f aca="false">IF(ISNUMBER(Q250),Q250*CTL_PriceLife*CTL_Monetize,Q250)</f>
        <v>54.4181760054532</v>
      </c>
      <c r="R251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2612</v>
      </c>
      <c r="U251" s="41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2" t="s">
        <v>2617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2657</v>
      </c>
    </row>
    <row r="253" customFormat="false" ht="15" hidden="false" customHeight="true" outlineLevel="0" collapsed="false">
      <c r="A253" s="41" t="s">
        <v>2658</v>
      </c>
      <c r="B253" s="28" t="s">
        <v>1796</v>
      </c>
      <c r="C253" s="207" t="n">
        <f aca="false">IF(ISNUMBER(C102),C102/IF_Util,C102)</f>
        <v>5.95171512707998</v>
      </c>
      <c r="D253" s="207" t="n">
        <f aca="false">IF(ISNUMBER(D102),D102/IF_Util,D102)</f>
        <v>5.95171512707998</v>
      </c>
      <c r="E253" s="207" t="n">
        <f aca="false">IF(ISNUMBER(E102),E102/IF_Util,E102)</f>
        <v>5.95171512707998</v>
      </c>
      <c r="F253" s="207" t="n">
        <f aca="false">IF(ISNUMBER(F102),F102/IF_Util,F102)</f>
        <v>29.1133717558573</v>
      </c>
      <c r="G253" s="207" t="n">
        <f aca="false">IF(ISNUMBER(G102),G102/IF_Util,G102)</f>
        <v>29.1133717558573</v>
      </c>
      <c r="H253" s="207" t="n">
        <f aca="false">IF(ISNUMBER(H102),H102/IF_Util,H102)</f>
        <v>29.1133717558573</v>
      </c>
      <c r="I253" s="207" t="n">
        <f aca="false">IF(ISNUMBER(I102),I102/IF_Util,I102)</f>
        <v>42.3854598701289</v>
      </c>
      <c r="J253" s="207" t="n">
        <f aca="false">IF(ISNUMBER(J102),J102/IF_Util,J102)</f>
        <v>42.3854598701289</v>
      </c>
      <c r="K253" s="207" t="n">
        <f aca="false">IF(ISNUMBER(K102),K102/IF_Util,K102)</f>
        <v>42.3854598701289</v>
      </c>
      <c r="L253" s="207" t="n">
        <f aca="false">IF(ISNUMBER(L102),L102/IF_Util,L102)</f>
        <v>62.0970377331622</v>
      </c>
      <c r="M253" s="207" t="n">
        <f aca="false">IF(ISNUMBER(M102),M102/IF_Util,M102)</f>
        <v>62.0970377331622</v>
      </c>
      <c r="N253" s="207" t="n">
        <f aca="false">IF(ISNUMBER(N102),N102/IF_Util,N102)</f>
        <v>62.0970377331622</v>
      </c>
      <c r="O253" s="207" t="n">
        <f aca="false">IF(ISNUMBER(O102),O102/IF_Util,O102)</f>
        <v>83.9212299203448</v>
      </c>
      <c r="P253" s="207" t="n">
        <f aca="false">IF(ISNUMBER(P102),P102/IF_Util,P102)</f>
        <v>83.9212299203448</v>
      </c>
      <c r="Q253" s="207" t="n">
        <f aca="false">IF(ISNUMBER(Q102),Q102/IF_Util,Q102)</f>
        <v>83.9212299203448</v>
      </c>
      <c r="R25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2389</v>
      </c>
      <c r="U253" s="41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2" t="s">
        <v>2481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1" t="s">
        <v>2659</v>
      </c>
      <c r="B254" s="28" t="s">
        <v>1796</v>
      </c>
      <c r="C254" s="207" t="n">
        <f aca="false">C102</f>
        <v>3.57102907624799</v>
      </c>
      <c r="D254" s="207" t="n">
        <f aca="false">D102</f>
        <v>3.57102907624799</v>
      </c>
      <c r="E254" s="207" t="n">
        <f aca="false">E102</f>
        <v>3.57102907624799</v>
      </c>
      <c r="F254" s="207" t="n">
        <f aca="false">F102</f>
        <v>17.4680230535144</v>
      </c>
      <c r="G254" s="207" t="n">
        <f aca="false">G102</f>
        <v>17.4680230535144</v>
      </c>
      <c r="H254" s="207" t="n">
        <f aca="false">H102</f>
        <v>17.4680230535144</v>
      </c>
      <c r="I254" s="207" t="n">
        <f aca="false">I102</f>
        <v>25.4312759220773</v>
      </c>
      <c r="J254" s="207" t="n">
        <f aca="false">J102</f>
        <v>25.4312759220773</v>
      </c>
      <c r="K254" s="207" t="n">
        <f aca="false">K102</f>
        <v>25.4312759220773</v>
      </c>
      <c r="L254" s="207" t="n">
        <f aca="false">L102</f>
        <v>37.2582226398973</v>
      </c>
      <c r="M254" s="207" t="n">
        <f aca="false">M102</f>
        <v>37.2582226398973</v>
      </c>
      <c r="N254" s="207" t="n">
        <f aca="false">N102</f>
        <v>37.2582226398973</v>
      </c>
      <c r="O254" s="207" t="n">
        <f aca="false">O102</f>
        <v>50.3527379522069</v>
      </c>
      <c r="P254" s="207" t="n">
        <f aca="false">P102</f>
        <v>50.3527379522069</v>
      </c>
      <c r="Q254" s="207" t="n">
        <f aca="false">Q102</f>
        <v>50.3527379522069</v>
      </c>
      <c r="R25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2414</v>
      </c>
      <c r="U254" s="41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2" t="s">
        <v>2481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1" t="s">
        <v>2660</v>
      </c>
      <c r="B255" s="28" t="s">
        <v>1796</v>
      </c>
      <c r="C255" s="186" t="n">
        <f aca="false">IF(ISNUMBER(Theory_Rev_Prod!C10),Theory_Rev_Prod!C10*INDEX(B4_FrontRef,1,1)/1000000000,Theory_Rev_Prod!C10)</f>
        <v>2.44762339054934</v>
      </c>
      <c r="D255" s="186" t="n">
        <f aca="false">IF(ISNUMBER(Theory_Rev_Prod!D10),Theory_Rev_Prod!D10*INDEX(B4_FrontRef,1,1)/1000000000,Theory_Rev_Prod!D10)</f>
        <v>2.44762339054934</v>
      </c>
      <c r="E255" s="186" t="n">
        <f aca="false">IF(ISNUMBER(Theory_Rev_Prod!E10),Theory_Rev_Prod!E10*INDEX(B4_FrontRef,1,1)/1000000000,Theory_Rev_Prod!E10)</f>
        <v>2.44762339054934</v>
      </c>
      <c r="F255" s="186" t="n">
        <f aca="false">IF(ISNUMBER(Theory_Rev_Prod!F10),Theory_Rev_Prod!F10*INDEX(B4_FrontRef,1,1)/1000000000,Theory_Rev_Prod!F10)</f>
        <v>13.6555857459493</v>
      </c>
      <c r="G255" s="186" t="n">
        <f aca="false">IF(ISNUMBER(Theory_Rev_Prod!G10),Theory_Rev_Prod!G10*INDEX(B4_FrontRef,1,1)/1000000000,Theory_Rev_Prod!G10)</f>
        <v>13.6555857459493</v>
      </c>
      <c r="H255" s="186" t="n">
        <f aca="false">IF(ISNUMBER(Theory_Rev_Prod!H10),Theory_Rev_Prod!H10*INDEX(B4_FrontRef,1,1)/1000000000,Theory_Rev_Prod!H10)</f>
        <v>13.6555857459493</v>
      </c>
      <c r="I255" s="186" t="n">
        <f aca="false">IF(ISNUMBER(Theory_Rev_Prod!I10),Theory_Rev_Prod!I10*INDEX(B4_FrontRef,1,1)/1000000000,Theory_Rev_Prod!I10)</f>
        <v>19.8808398591479</v>
      </c>
      <c r="J255" s="186" t="n">
        <f aca="false">IF(ISNUMBER(Theory_Rev_Prod!J10),Theory_Rev_Prod!J10*INDEX(B4_FrontRef,1,1)/1000000000,Theory_Rev_Prod!J10)</f>
        <v>19.8808398591479</v>
      </c>
      <c r="K255" s="186" t="n">
        <f aca="false">IF(ISNUMBER(Theory_Rev_Prod!K10),Theory_Rev_Prod!K10*INDEX(B4_FrontRef,1,1)/1000000000,Theory_Rev_Prod!K10)</f>
        <v>19.8808398591479</v>
      </c>
      <c r="L255" s="186" t="n">
        <f aca="false">IF(ISNUMBER(Theory_Rev_Prod!L10),Theory_Rev_Prod!L10*INDEX(B4_FrontRef,1,1)/1000000000,Theory_Rev_Prod!L10)</f>
        <v>29.3255549100997</v>
      </c>
      <c r="M255" s="186" t="n">
        <f aca="false">IF(ISNUMBER(Theory_Rev_Prod!M10),Theory_Rev_Prod!M10*INDEX(B4_FrontRef,1,1)/1000000000,Theory_Rev_Prod!M10)</f>
        <v>29.3255549100997</v>
      </c>
      <c r="N255" s="186" t="n">
        <f aca="false">IF(ISNUMBER(Theory_Rev_Prod!N10),Theory_Rev_Prod!N10*INDEX(B4_FrontRef,1,1)/1000000000,Theory_Rev_Prod!N10)</f>
        <v>29.3255549100997</v>
      </c>
      <c r="O255" s="186" t="n">
        <f aca="false">IF(ISNUMBER(Theory_Rev_Prod!O10),Theory_Rev_Prod!O10*INDEX(B4_FrontRef,1,1)/1000000000,Theory_Rev_Prod!O10)</f>
        <v>39.6992397829504</v>
      </c>
      <c r="P255" s="186" t="n">
        <f aca="false">IF(ISNUMBER(Theory_Rev_Prod!P10),Theory_Rev_Prod!P10*INDEX(B4_FrontRef,1,1)/1000000000,Theory_Rev_Prod!P10)</f>
        <v>39.6992397829504</v>
      </c>
      <c r="Q255" s="186" t="n">
        <f aca="false">IF(ISNUMBER(Theory_Rev_Prod!Q10),Theory_Rev_Prod!Q10*INDEX(B4_FrontRef,1,1)/1000000000,Theory_Rev_Prod!Q10)</f>
        <v>39.6992397829504</v>
      </c>
      <c r="R25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2600</v>
      </c>
      <c r="U255" s="41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2" t="s">
        <v>2661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1" t="s">
        <v>2662</v>
      </c>
      <c r="B256" s="28" t="s">
        <v>1796</v>
      </c>
      <c r="C256" s="207" t="n">
        <f aca="false">IF(ISNUMBER(C255),C255*CTL_PriceLife*CTL_Monetize,C255)</f>
        <v>2.44762339054934</v>
      </c>
      <c r="D256" s="207" t="n">
        <f aca="false">IF(ISNUMBER(D255),D255*CTL_PriceLife*CTL_Monetize,D255)</f>
        <v>2.44762339054934</v>
      </c>
      <c r="E256" s="207" t="n">
        <f aca="false">IF(ISNUMBER(E255),E255*CTL_PriceLife*CTL_Monetize,E255)</f>
        <v>2.44762339054934</v>
      </c>
      <c r="F256" s="207" t="n">
        <f aca="false">IF(ISNUMBER(F255),F255*CTL_PriceLife*CTL_Monetize,F255)</f>
        <v>13.6555857459493</v>
      </c>
      <c r="G256" s="207" t="n">
        <f aca="false">IF(ISNUMBER(G255),G255*CTL_PriceLife*CTL_Monetize,G255)</f>
        <v>13.6555857459493</v>
      </c>
      <c r="H256" s="207" t="n">
        <f aca="false">IF(ISNUMBER(H255),H255*CTL_PriceLife*CTL_Monetize,H255)</f>
        <v>13.6555857459493</v>
      </c>
      <c r="I256" s="207" t="n">
        <f aca="false">IF(ISNUMBER(I255),I255*CTL_PriceLife*CTL_Monetize,I255)</f>
        <v>19.8808398591479</v>
      </c>
      <c r="J256" s="207" t="n">
        <f aca="false">IF(ISNUMBER(J255),J255*CTL_PriceLife*CTL_Monetize,J255)</f>
        <v>19.8808398591479</v>
      </c>
      <c r="K256" s="207" t="n">
        <f aca="false">IF(ISNUMBER(K255),K255*CTL_PriceLife*CTL_Monetize,K255)</f>
        <v>19.8808398591479</v>
      </c>
      <c r="L256" s="207" t="n">
        <f aca="false">IF(ISNUMBER(L255),L255*CTL_PriceLife*CTL_Monetize,L255)</f>
        <v>29.3255549100997</v>
      </c>
      <c r="M256" s="207" t="n">
        <f aca="false">IF(ISNUMBER(M255),M255*CTL_PriceLife*CTL_Monetize,M255)</f>
        <v>29.3255549100997</v>
      </c>
      <c r="N256" s="207" t="n">
        <f aca="false">IF(ISNUMBER(N255),N255*CTL_PriceLife*CTL_Monetize,N255)</f>
        <v>29.3255549100997</v>
      </c>
      <c r="O256" s="207" t="n">
        <f aca="false">IF(ISNUMBER(O255),O255*CTL_PriceLife*CTL_Monetize,O255)</f>
        <v>39.6992397829504</v>
      </c>
      <c r="P256" s="207" t="n">
        <f aca="false">IF(ISNUMBER(P255),P255*CTL_PriceLife*CTL_Monetize,P255)</f>
        <v>39.6992397829504</v>
      </c>
      <c r="Q256" s="207" t="n">
        <f aca="false">IF(ISNUMBER(Q255),Q255*CTL_PriceLife*CTL_Monetize,Q255)</f>
        <v>39.6992397829504</v>
      </c>
      <c r="R25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2612</v>
      </c>
      <c r="U256" s="41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2" t="s">
        <v>2663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2657</v>
      </c>
    </row>
    <row r="258" customFormat="false" ht="15" hidden="false" customHeight="true" outlineLevel="0" collapsed="false">
      <c r="A258" s="41" t="s">
        <v>2664</v>
      </c>
      <c r="B258" s="28" t="s">
        <v>1796</v>
      </c>
      <c r="C258" s="207" t="n">
        <f aca="false">IF(ISNUMBER(C120),C120/IF_Util,C120)</f>
        <v>34.5375083299961</v>
      </c>
      <c r="D258" s="207" t="n">
        <f aca="false">IF(ISNUMBER(D120),D120/IF_Util,D120)</f>
        <v>34.5375083299961</v>
      </c>
      <c r="E258" s="207" t="n">
        <f aca="false">IF(ISNUMBER(E120),E120/IF_Util,E120)</f>
        <v>34.5375083299961</v>
      </c>
      <c r="F258" s="207" t="n">
        <f aca="false">IF(ISNUMBER(F120),F120/IF_Util,F120)</f>
        <v>167.34108902564</v>
      </c>
      <c r="G258" s="207" t="n">
        <f aca="false">IF(ISNUMBER(G120),G120/IF_Util,G120)</f>
        <v>167.34108902564</v>
      </c>
      <c r="H258" s="207" t="n">
        <f aca="false">IF(ISNUMBER(H120),H120/IF_Util,H120)</f>
        <v>167.34108902564</v>
      </c>
      <c r="I258" s="207" t="n">
        <f aca="false">IF(ISNUMBER(I120),I120/IF_Util,I120)</f>
        <v>243.627879072198</v>
      </c>
      <c r="J258" s="207" t="n">
        <f aca="false">IF(ISNUMBER(J120),J120/IF_Util,J120)</f>
        <v>243.627879072198</v>
      </c>
      <c r="K258" s="207" t="n">
        <f aca="false">IF(ISNUMBER(K120),K120/IF_Util,K120)</f>
        <v>243.627879072198</v>
      </c>
      <c r="L258" s="207" t="n">
        <f aca="false">IF(ISNUMBER(L120),L120/IF_Util,L120)</f>
        <v>381.347118606988</v>
      </c>
      <c r="M258" s="207" t="n">
        <f aca="false">IF(ISNUMBER(M120),M120/IF_Util,M120)</f>
        <v>381.347118606988</v>
      </c>
      <c r="N258" s="207" t="n">
        <f aca="false">IF(ISNUMBER(N120),N120/IF_Util,N120)</f>
        <v>381.347118606988</v>
      </c>
      <c r="O258" s="207" t="n">
        <f aca="false">IF(ISNUMBER(O120),O120/IF_Util,O120)</f>
        <v>524.216615381698</v>
      </c>
      <c r="P258" s="207" t="n">
        <f aca="false">IF(ISNUMBER(P120),P120/IF_Util,P120)</f>
        <v>524.216615381698</v>
      </c>
      <c r="Q258" s="207" t="n">
        <f aca="false">IF(ISNUMBER(Q120),Q120/IF_Util,Q120)</f>
        <v>524.216615381698</v>
      </c>
      <c r="R25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2389</v>
      </c>
      <c r="U258" s="41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2" t="s">
        <v>2481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1" t="s">
        <v>2665</v>
      </c>
      <c r="B259" s="28" t="s">
        <v>1796</v>
      </c>
      <c r="C259" s="207" t="n">
        <f aca="false">C120</f>
        <v>20.7225049979976</v>
      </c>
      <c r="D259" s="207" t="n">
        <f aca="false">D120</f>
        <v>20.7225049979976</v>
      </c>
      <c r="E259" s="207" t="n">
        <f aca="false">E120</f>
        <v>20.7225049979976</v>
      </c>
      <c r="F259" s="207" t="n">
        <f aca="false">F120</f>
        <v>100.404653415384</v>
      </c>
      <c r="G259" s="207" t="n">
        <f aca="false">G120</f>
        <v>100.404653415384</v>
      </c>
      <c r="H259" s="207" t="n">
        <f aca="false">H120</f>
        <v>100.404653415384</v>
      </c>
      <c r="I259" s="207" t="n">
        <f aca="false">I120</f>
        <v>146.176727443319</v>
      </c>
      <c r="J259" s="207" t="n">
        <f aca="false">J120</f>
        <v>146.176727443319</v>
      </c>
      <c r="K259" s="207" t="n">
        <f aca="false">K120</f>
        <v>146.176727443319</v>
      </c>
      <c r="L259" s="207" t="n">
        <f aca="false">L120</f>
        <v>228.808271164193</v>
      </c>
      <c r="M259" s="207" t="n">
        <f aca="false">M120</f>
        <v>228.808271164193</v>
      </c>
      <c r="N259" s="207" t="n">
        <f aca="false">N120</f>
        <v>228.808271164193</v>
      </c>
      <c r="O259" s="207" t="n">
        <f aca="false">O120</f>
        <v>314.529969229019</v>
      </c>
      <c r="P259" s="207" t="n">
        <f aca="false">P120</f>
        <v>314.529969229019</v>
      </c>
      <c r="Q259" s="207" t="n">
        <f aca="false">Q120</f>
        <v>314.529969229019</v>
      </c>
      <c r="R25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2414</v>
      </c>
      <c r="U259" s="41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2" t="s">
        <v>2481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1" t="s">
        <v>2666</v>
      </c>
      <c r="B260" s="28" t="s">
        <v>1796</v>
      </c>
      <c r="C260" s="186" t="n">
        <f aca="false">IF(ISNUMBER(Theory_Rev_Prod!C28),Theory_Rev_Prod!C28*INDEX(B4_FrontRef,1,2)/1000000000,Theory_Rev_Prod!C28)</f>
        <v>15.1336974133362</v>
      </c>
      <c r="D260" s="186" t="n">
        <f aca="false">IF(ISNUMBER(Theory_Rev_Prod!D28),Theory_Rev_Prod!D28*INDEX(B4_FrontRef,1,2)/1000000000,Theory_Rev_Prod!D28)</f>
        <v>15.1336974133362</v>
      </c>
      <c r="E260" s="186" t="n">
        <f aca="false">IF(ISNUMBER(Theory_Rev_Prod!E28),Theory_Rev_Prod!E28*INDEX(B4_FrontRef,1,2)/1000000000,Theory_Rev_Prod!E28)</f>
        <v>15.1336974133362</v>
      </c>
      <c r="F260" s="186" t="n">
        <f aca="false">IF(ISNUMBER(Theory_Rev_Prod!F28),Theory_Rev_Prod!F28*INDEX(B4_FrontRef,1,2)/1000000000,Theory_Rev_Prod!F28)</f>
        <v>80.1519532436076</v>
      </c>
      <c r="G260" s="186" t="n">
        <f aca="false">IF(ISNUMBER(Theory_Rev_Prod!G28),Theory_Rev_Prod!G28*INDEX(B4_FrontRef,1,2)/1000000000,Theory_Rev_Prod!G28)</f>
        <v>80.1519532436076</v>
      </c>
      <c r="H260" s="186" t="n">
        <f aca="false">IF(ISNUMBER(Theory_Rev_Prod!H28),Theory_Rev_Prod!H28*INDEX(B4_FrontRef,1,2)/1000000000,Theory_Rev_Prod!H28)</f>
        <v>80.1519532436076</v>
      </c>
      <c r="I260" s="186" t="n">
        <f aca="false">IF(ISNUMBER(Theory_Rev_Prod!I28),Theory_Rev_Prod!I28*INDEX(B4_FrontRef,1,2)/1000000000,Theory_Rev_Prod!I28)</f>
        <v>116.69130687468</v>
      </c>
      <c r="J260" s="186" t="n">
        <f aca="false">IF(ISNUMBER(Theory_Rev_Prod!J28),Theory_Rev_Prod!J28*INDEX(B4_FrontRef,1,2)/1000000000,Theory_Rev_Prod!J28)</f>
        <v>116.69130687468</v>
      </c>
      <c r="K260" s="186" t="n">
        <f aca="false">IF(ISNUMBER(Theory_Rev_Prod!K28),Theory_Rev_Prod!K28*INDEX(B4_FrontRef,1,2)/1000000000,Theory_Rev_Prod!K28)</f>
        <v>116.69130687468</v>
      </c>
      <c r="L260" s="186" t="n">
        <f aca="false">IF(ISNUMBER(Theory_Rev_Prod!L28),Theory_Rev_Prod!L28*INDEX(B4_FrontRef,1,2)/1000000000,Theory_Rev_Prod!L28)</f>
        <v>184.79597204631</v>
      </c>
      <c r="M260" s="186" t="n">
        <f aca="false">IF(ISNUMBER(Theory_Rev_Prod!M28),Theory_Rev_Prod!M28*INDEX(B4_FrontRef,1,2)/1000000000,Theory_Rev_Prod!M28)</f>
        <v>184.79597204631</v>
      </c>
      <c r="N260" s="186" t="n">
        <f aca="false">IF(ISNUMBER(Theory_Rev_Prod!N28),Theory_Rev_Prod!N28*INDEX(B4_FrontRef,1,2)/1000000000,Theory_Rev_Prod!N28)</f>
        <v>184.79597204631</v>
      </c>
      <c r="O260" s="186" t="n">
        <f aca="false">IF(ISNUMBER(Theory_Rev_Prod!O28),Theory_Rev_Prod!O28*INDEX(B4_FrontRef,1,2)/1000000000,Theory_Rev_Prod!O28)</f>
        <v>254.725350558298</v>
      </c>
      <c r="P260" s="186" t="n">
        <f aca="false">IF(ISNUMBER(Theory_Rev_Prod!P28),Theory_Rev_Prod!P28*INDEX(B4_FrontRef,1,2)/1000000000,Theory_Rev_Prod!P28)</f>
        <v>254.725350558298</v>
      </c>
      <c r="Q260" s="186" t="n">
        <f aca="false">IF(ISNUMBER(Theory_Rev_Prod!Q28),Theory_Rev_Prod!Q28*INDEX(B4_FrontRef,1,2)/1000000000,Theory_Rev_Prod!Q28)</f>
        <v>254.725350558298</v>
      </c>
      <c r="R26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2600</v>
      </c>
      <c r="U260" s="41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2" t="s">
        <v>2661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1" t="s">
        <v>2667</v>
      </c>
      <c r="B261" s="28" t="s">
        <v>1796</v>
      </c>
      <c r="C261" s="207" t="n">
        <f aca="false">IF(ISNUMBER(C260),C260*CTL_PriceLife*CTL_Monetize,C260)</f>
        <v>15.1336974133362</v>
      </c>
      <c r="D261" s="207" t="n">
        <f aca="false">IF(ISNUMBER(D260),D260*CTL_PriceLife*CTL_Monetize,D260)</f>
        <v>15.1336974133362</v>
      </c>
      <c r="E261" s="207" t="n">
        <f aca="false">IF(ISNUMBER(E260),E260*CTL_PriceLife*CTL_Monetize,E260)</f>
        <v>15.1336974133362</v>
      </c>
      <c r="F261" s="207" t="n">
        <f aca="false">IF(ISNUMBER(F260),F260*CTL_PriceLife*CTL_Monetize,F260)</f>
        <v>80.1519532436076</v>
      </c>
      <c r="G261" s="207" t="n">
        <f aca="false">IF(ISNUMBER(G260),G260*CTL_PriceLife*CTL_Monetize,G260)</f>
        <v>80.1519532436076</v>
      </c>
      <c r="H261" s="207" t="n">
        <f aca="false">IF(ISNUMBER(H260),H260*CTL_PriceLife*CTL_Monetize,H260)</f>
        <v>80.1519532436076</v>
      </c>
      <c r="I261" s="207" t="n">
        <f aca="false">IF(ISNUMBER(I260),I260*CTL_PriceLife*CTL_Monetize,I260)</f>
        <v>116.69130687468</v>
      </c>
      <c r="J261" s="207" t="n">
        <f aca="false">IF(ISNUMBER(J260),J260*CTL_PriceLife*CTL_Monetize,J260)</f>
        <v>116.69130687468</v>
      </c>
      <c r="K261" s="207" t="n">
        <f aca="false">IF(ISNUMBER(K260),K260*CTL_PriceLife*CTL_Monetize,K260)</f>
        <v>116.69130687468</v>
      </c>
      <c r="L261" s="207" t="n">
        <f aca="false">IF(ISNUMBER(L260),L260*CTL_PriceLife*CTL_Monetize,L260)</f>
        <v>184.79597204631</v>
      </c>
      <c r="M261" s="207" t="n">
        <f aca="false">IF(ISNUMBER(M260),M260*CTL_PriceLife*CTL_Monetize,M260)</f>
        <v>184.79597204631</v>
      </c>
      <c r="N261" s="207" t="n">
        <f aca="false">IF(ISNUMBER(N260),N260*CTL_PriceLife*CTL_Monetize,N260)</f>
        <v>184.79597204631</v>
      </c>
      <c r="O261" s="207" t="n">
        <f aca="false">IF(ISNUMBER(O260),O260*CTL_PriceLife*CTL_Monetize,O260)</f>
        <v>254.725350558298</v>
      </c>
      <c r="P261" s="207" t="n">
        <f aca="false">IF(ISNUMBER(P260),P260*CTL_PriceLife*CTL_Monetize,P260)</f>
        <v>254.725350558298</v>
      </c>
      <c r="Q261" s="207" t="n">
        <f aca="false">IF(ISNUMBER(Q260),Q260*CTL_PriceLife*CTL_Monetize,Q260)</f>
        <v>254.725350558298</v>
      </c>
      <c r="R261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2612</v>
      </c>
      <c r="U261" s="41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2" t="s">
        <v>2663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2657</v>
      </c>
    </row>
    <row r="263" customFormat="false" ht="15" hidden="false" customHeight="true" outlineLevel="0" collapsed="false">
      <c r="A263" s="41" t="s">
        <v>2668</v>
      </c>
      <c r="B263" s="28" t="s">
        <v>1796</v>
      </c>
      <c r="C263" s="207" t="n">
        <f aca="false">IF(ISNUMBER(C138),C138/IF_Util,C138)</f>
        <v>30.0128660956626</v>
      </c>
      <c r="D263" s="207" t="n">
        <f aca="false">IF(ISNUMBER(D138),D138/IF_Util,D138)</f>
        <v>30.0128660956626</v>
      </c>
      <c r="E263" s="207" t="n">
        <f aca="false">IF(ISNUMBER(E138),E138/IF_Util,E138)</f>
        <v>30.0128660956626</v>
      </c>
      <c r="F263" s="207" t="n">
        <f aca="false">IF(ISNUMBER(F138),F138/IF_Util,F138)</f>
        <v>155.168368680523</v>
      </c>
      <c r="G263" s="207" t="n">
        <f aca="false">IF(ISNUMBER(G138),G138/IF_Util,G138)</f>
        <v>155.168368680523</v>
      </c>
      <c r="H263" s="207" t="n">
        <f aca="false">IF(ISNUMBER(H138),H138/IF_Util,H138)</f>
        <v>155.168368680523</v>
      </c>
      <c r="I263" s="207" t="n">
        <f aca="false">IF(ISNUMBER(I138),I138/IF_Util,I138)</f>
        <v>187.626852333956</v>
      </c>
      <c r="J263" s="207" t="n">
        <f aca="false">IF(ISNUMBER(J138),J138/IF_Util,J138)</f>
        <v>187.626852333956</v>
      </c>
      <c r="K263" s="207" t="n">
        <f aca="false">IF(ISNUMBER(K138),K138/IF_Util,K138)</f>
        <v>187.626852333956</v>
      </c>
      <c r="L263" s="207" t="n">
        <f aca="false">IF(ISNUMBER(L138),L138/IF_Util,L138)</f>
        <v>396.153179292518</v>
      </c>
      <c r="M263" s="207" t="n">
        <f aca="false">IF(ISNUMBER(M138),M138/IF_Util,M138)</f>
        <v>396.153179292518</v>
      </c>
      <c r="N263" s="207" t="n">
        <f aca="false">IF(ISNUMBER(N138),N138/IF_Util,N138)</f>
        <v>396.153179292518</v>
      </c>
      <c r="O263" s="207" t="n">
        <f aca="false">IF(ISNUMBER(O138),O138/IF_Util,O138)</f>
        <v>576.028734834064</v>
      </c>
      <c r="P263" s="207" t="n">
        <f aca="false">IF(ISNUMBER(P138),P138/IF_Util,P138)</f>
        <v>576.028734834064</v>
      </c>
      <c r="Q263" s="207" t="n">
        <f aca="false">IF(ISNUMBER(Q138),Q138/IF_Util,Q138)</f>
        <v>576.028734834064</v>
      </c>
      <c r="R26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2389</v>
      </c>
      <c r="U263" s="41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2" t="s">
        <v>2481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1" t="s">
        <v>2669</v>
      </c>
      <c r="B264" s="28" t="s">
        <v>1796</v>
      </c>
      <c r="C264" s="207" t="n">
        <f aca="false">C138</f>
        <v>18.0077196573975</v>
      </c>
      <c r="D264" s="207" t="n">
        <f aca="false">D138</f>
        <v>18.0077196573975</v>
      </c>
      <c r="E264" s="207" t="n">
        <f aca="false">E138</f>
        <v>18.0077196573975</v>
      </c>
      <c r="F264" s="207" t="n">
        <f aca="false">F138</f>
        <v>93.101021208314</v>
      </c>
      <c r="G264" s="207" t="n">
        <f aca="false">G138</f>
        <v>93.101021208314</v>
      </c>
      <c r="H264" s="207" t="n">
        <f aca="false">H138</f>
        <v>93.101021208314</v>
      </c>
      <c r="I264" s="207" t="n">
        <f aca="false">I138</f>
        <v>112.576111400374</v>
      </c>
      <c r="J264" s="207" t="n">
        <f aca="false">J138</f>
        <v>112.576111400374</v>
      </c>
      <c r="K264" s="207" t="n">
        <f aca="false">K138</f>
        <v>112.576111400374</v>
      </c>
      <c r="L264" s="207" t="n">
        <f aca="false">L138</f>
        <v>237.691907575511</v>
      </c>
      <c r="M264" s="207" t="n">
        <f aca="false">M138</f>
        <v>237.691907575511</v>
      </c>
      <c r="N264" s="207" t="n">
        <f aca="false">N138</f>
        <v>237.691907575511</v>
      </c>
      <c r="O264" s="207" t="n">
        <f aca="false">O138</f>
        <v>345.617240900439</v>
      </c>
      <c r="P264" s="207" t="n">
        <f aca="false">P138</f>
        <v>345.617240900439</v>
      </c>
      <c r="Q264" s="207" t="n">
        <f aca="false">Q138</f>
        <v>345.617240900439</v>
      </c>
      <c r="R26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2414</v>
      </c>
      <c r="U264" s="41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2" t="s">
        <v>2481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1" t="s">
        <v>2670</v>
      </c>
      <c r="B265" s="28" t="s">
        <v>1796</v>
      </c>
      <c r="C265" s="186" t="n">
        <f aca="false">IF(ISNUMBER(Theory_Rev_Prod!C46),Theory_Rev_Prod!C46*INDEX(B4_FrontRef,1,3)/1000000000,Theory_Rev_Prod!C46)</f>
        <v>8.75708385596971</v>
      </c>
      <c r="D265" s="186" t="n">
        <f aca="false">IF(ISNUMBER(Theory_Rev_Prod!D46),Theory_Rev_Prod!D46*INDEX(B4_FrontRef,1,3)/1000000000,Theory_Rev_Prod!D46)</f>
        <v>8.75708385596971</v>
      </c>
      <c r="E265" s="186" t="n">
        <f aca="false">IF(ISNUMBER(Theory_Rev_Prod!E46),Theory_Rev_Prod!E46*INDEX(B4_FrontRef,1,3)/1000000000,Theory_Rev_Prod!E46)</f>
        <v>8.75708385596971</v>
      </c>
      <c r="F265" s="186" t="n">
        <f aca="false">IF(ISNUMBER(Theory_Rev_Prod!F46),Theory_Rev_Prod!F46*INDEX(B4_FrontRef,1,3)/1000000000,Theory_Rev_Prod!F46)</f>
        <v>68.2212927543802</v>
      </c>
      <c r="G265" s="186" t="n">
        <f aca="false">IF(ISNUMBER(Theory_Rev_Prod!G46),Theory_Rev_Prod!G46*INDEX(B4_FrontRef,1,3)/1000000000,Theory_Rev_Prod!G46)</f>
        <v>68.2212927543802</v>
      </c>
      <c r="H265" s="186" t="n">
        <f aca="false">IF(ISNUMBER(Theory_Rev_Prod!H46),Theory_Rev_Prod!H46*INDEX(B4_FrontRef,1,3)/1000000000,Theory_Rev_Prod!H46)</f>
        <v>68.2212927543802</v>
      </c>
      <c r="I265" s="186" t="n">
        <f aca="false">IF(ISNUMBER(Theory_Rev_Prod!I46),Theory_Rev_Prod!I46*INDEX(B4_FrontRef,1,3)/1000000000,Theory_Rev_Prod!I46)</f>
        <v>78.6993390379429</v>
      </c>
      <c r="J265" s="186" t="n">
        <f aca="false">IF(ISNUMBER(Theory_Rev_Prod!J46),Theory_Rev_Prod!J46*INDEX(B4_FrontRef,1,3)/1000000000,Theory_Rev_Prod!J46)</f>
        <v>78.6993390379429</v>
      </c>
      <c r="K265" s="186" t="n">
        <f aca="false">IF(ISNUMBER(Theory_Rev_Prod!K46),Theory_Rev_Prod!K46*INDEX(B4_FrontRef,1,3)/1000000000,Theory_Rev_Prod!K46)</f>
        <v>78.6993390379429</v>
      </c>
      <c r="L265" s="186" t="n">
        <f aca="false">IF(ISNUMBER(Theory_Rev_Prod!L46),Theory_Rev_Prod!L46*INDEX(B4_FrontRef,1,3)/1000000000,Theory_Rev_Prod!L46)</f>
        <v>182.037727038631</v>
      </c>
      <c r="M265" s="186" t="n">
        <f aca="false">IF(ISNUMBER(Theory_Rev_Prod!M46),Theory_Rev_Prod!M46*INDEX(B4_FrontRef,1,3)/1000000000,Theory_Rev_Prod!M46)</f>
        <v>182.037727038631</v>
      </c>
      <c r="N265" s="186" t="n">
        <f aca="false">IF(ISNUMBER(Theory_Rev_Prod!N46),Theory_Rev_Prod!N46*INDEX(B4_FrontRef,1,3)/1000000000,Theory_Rev_Prod!N46)</f>
        <v>182.037727038631</v>
      </c>
      <c r="O265" s="186" t="n">
        <f aca="false">IF(ISNUMBER(Theory_Rev_Prod!O46),Theory_Rev_Prod!O46*INDEX(B4_FrontRef,1,3)/1000000000,Theory_Rev_Prod!O46)</f>
        <v>268.316842301542</v>
      </c>
      <c r="P265" s="186" t="n">
        <f aca="false">IF(ISNUMBER(Theory_Rev_Prod!P46),Theory_Rev_Prod!P46*INDEX(B4_FrontRef,1,3)/1000000000,Theory_Rev_Prod!P46)</f>
        <v>268.316842301542</v>
      </c>
      <c r="Q265" s="186" t="n">
        <f aca="false">IF(ISNUMBER(Theory_Rev_Prod!Q46),Theory_Rev_Prod!Q46*INDEX(B4_FrontRef,1,3)/1000000000,Theory_Rev_Prod!Q46)</f>
        <v>268.316842301542</v>
      </c>
      <c r="R26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2600</v>
      </c>
      <c r="U265" s="41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2" t="s">
        <v>2661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1" t="s">
        <v>2671</v>
      </c>
      <c r="B266" s="28" t="s">
        <v>1796</v>
      </c>
      <c r="C266" s="207" t="n">
        <f aca="false">IF(ISNUMBER(C265),C265*CTL_PriceLife*CTL_Monetize,C265)</f>
        <v>8.75708385596971</v>
      </c>
      <c r="D266" s="207" t="n">
        <f aca="false">IF(ISNUMBER(D265),D265*CTL_PriceLife*CTL_Monetize,D265)</f>
        <v>8.75708385596971</v>
      </c>
      <c r="E266" s="207" t="n">
        <f aca="false">IF(ISNUMBER(E265),E265*CTL_PriceLife*CTL_Monetize,E265)</f>
        <v>8.75708385596971</v>
      </c>
      <c r="F266" s="207" t="n">
        <f aca="false">IF(ISNUMBER(F265),F265*CTL_PriceLife*CTL_Monetize,F265)</f>
        <v>68.2212927543802</v>
      </c>
      <c r="G266" s="207" t="n">
        <f aca="false">IF(ISNUMBER(G265),G265*CTL_PriceLife*CTL_Monetize,G265)</f>
        <v>68.2212927543802</v>
      </c>
      <c r="H266" s="207" t="n">
        <f aca="false">IF(ISNUMBER(H265),H265*CTL_PriceLife*CTL_Monetize,H265)</f>
        <v>68.2212927543802</v>
      </c>
      <c r="I266" s="207" t="n">
        <f aca="false">IF(ISNUMBER(I265),I265*CTL_PriceLife*CTL_Monetize,I265)</f>
        <v>78.6993390379429</v>
      </c>
      <c r="J266" s="207" t="n">
        <f aca="false">IF(ISNUMBER(J265),J265*CTL_PriceLife*CTL_Monetize,J265)</f>
        <v>78.6993390379429</v>
      </c>
      <c r="K266" s="207" t="n">
        <f aca="false">IF(ISNUMBER(K265),K265*CTL_PriceLife*CTL_Monetize,K265)</f>
        <v>78.6993390379429</v>
      </c>
      <c r="L266" s="207" t="n">
        <f aca="false">IF(ISNUMBER(L265),L265*CTL_PriceLife*CTL_Monetize,L265)</f>
        <v>182.037727038631</v>
      </c>
      <c r="M266" s="207" t="n">
        <f aca="false">IF(ISNUMBER(M265),M265*CTL_PriceLife*CTL_Monetize,M265)</f>
        <v>182.037727038631</v>
      </c>
      <c r="N266" s="207" t="n">
        <f aca="false">IF(ISNUMBER(N265),N265*CTL_PriceLife*CTL_Monetize,N265)</f>
        <v>182.037727038631</v>
      </c>
      <c r="O266" s="207" t="n">
        <f aca="false">IF(ISNUMBER(O265),O265*CTL_PriceLife*CTL_Monetize,O265)</f>
        <v>268.316842301542</v>
      </c>
      <c r="P266" s="207" t="n">
        <f aca="false">IF(ISNUMBER(P265),P265*CTL_PriceLife*CTL_Monetize,P265)</f>
        <v>268.316842301542</v>
      </c>
      <c r="Q266" s="207" t="n">
        <f aca="false">IF(ISNUMBER(Q265),Q265*CTL_PriceLife*CTL_Monetize,Q265)</f>
        <v>268.316842301542</v>
      </c>
      <c r="R26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2612</v>
      </c>
      <c r="U266" s="41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2" t="s">
        <v>2663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2672</v>
      </c>
    </row>
    <row r="268" customFormat="false" ht="15" hidden="false" customHeight="true" outlineLevel="0" collapsed="false">
      <c r="A268" s="41" t="s">
        <v>2673</v>
      </c>
      <c r="B268" s="28" t="s">
        <v>1796</v>
      </c>
      <c r="C268" s="207" t="n">
        <f aca="false">IF(ISNUMBER(C147),C147/IF_Util,C147)</f>
        <v>6.52502180619395</v>
      </c>
      <c r="D268" s="207" t="n">
        <f aca="false">IF(ISNUMBER(D147),D147/IF_Util,D147)</f>
        <v>6.52502180619395</v>
      </c>
      <c r="E268" s="207" t="n">
        <f aca="false">IF(ISNUMBER(E147),E147/IF_Util,E147)</f>
        <v>6.52502180619395</v>
      </c>
      <c r="F268" s="207" t="n">
        <f aca="false">IF(ISNUMBER(F147),F147/IF_Util,F147)</f>
        <v>32.8697872816951</v>
      </c>
      <c r="G268" s="207" t="n">
        <f aca="false">IF(ISNUMBER(G147),G147/IF_Util,G147)</f>
        <v>32.8697872816951</v>
      </c>
      <c r="H268" s="207" t="n">
        <f aca="false">IF(ISNUMBER(H147),H147/IF_Util,H147)</f>
        <v>32.8697872816951</v>
      </c>
      <c r="I268" s="207" t="n">
        <f aca="false">IF(ISNUMBER(I147),I147/IF_Util,I147)</f>
        <v>42.7930185285984</v>
      </c>
      <c r="J268" s="207" t="n">
        <f aca="false">IF(ISNUMBER(J147),J147/IF_Util,J147)</f>
        <v>42.7930185285984</v>
      </c>
      <c r="K268" s="207" t="n">
        <f aca="false">IF(ISNUMBER(K147),K147/IF_Util,K147)</f>
        <v>42.7930185285984</v>
      </c>
      <c r="L268" s="207" t="n">
        <f aca="false">IF(ISNUMBER(L147),L147/IF_Util,L147)</f>
        <v>79.3838024058832</v>
      </c>
      <c r="M268" s="207" t="n">
        <f aca="false">IF(ISNUMBER(M147),M147/IF_Util,M147)</f>
        <v>79.3838024058832</v>
      </c>
      <c r="N268" s="207" t="n">
        <f aca="false">IF(ISNUMBER(N147),N147/IF_Util,N147)</f>
        <v>79.3838024058832</v>
      </c>
      <c r="O268" s="207" t="n">
        <f aca="false">IF(ISNUMBER(O147),O147/IF_Util,O147)</f>
        <v>112.301339995192</v>
      </c>
      <c r="P268" s="207" t="n">
        <f aca="false">IF(ISNUMBER(P147),P147/IF_Util,P147)</f>
        <v>112.301339995192</v>
      </c>
      <c r="Q268" s="207" t="n">
        <f aca="false">IF(ISNUMBER(Q147),Q147/IF_Util,Q147)</f>
        <v>112.301339995192</v>
      </c>
      <c r="R26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2389</v>
      </c>
      <c r="U268" s="41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2" t="s">
        <v>2524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1" t="s">
        <v>2674</v>
      </c>
      <c r="B269" s="28" t="s">
        <v>1796</v>
      </c>
      <c r="C269" s="207" t="n">
        <f aca="false">C147</f>
        <v>3.91501308371637</v>
      </c>
      <c r="D269" s="207" t="n">
        <f aca="false">D147</f>
        <v>3.91501308371637</v>
      </c>
      <c r="E269" s="207" t="n">
        <f aca="false">E147</f>
        <v>3.91501308371637</v>
      </c>
      <c r="F269" s="207" t="n">
        <f aca="false">F147</f>
        <v>19.7218723690171</v>
      </c>
      <c r="G269" s="207" t="n">
        <f aca="false">G147</f>
        <v>19.7218723690171</v>
      </c>
      <c r="H269" s="207" t="n">
        <f aca="false">H147</f>
        <v>19.7218723690171</v>
      </c>
      <c r="I269" s="207" t="n">
        <f aca="false">I147</f>
        <v>25.6758111171591</v>
      </c>
      <c r="J269" s="207" t="n">
        <f aca="false">J147</f>
        <v>25.6758111171591</v>
      </c>
      <c r="K269" s="207" t="n">
        <f aca="false">K147</f>
        <v>25.6758111171591</v>
      </c>
      <c r="L269" s="207" t="n">
        <f aca="false">L147</f>
        <v>47.6302814435299</v>
      </c>
      <c r="M269" s="207" t="n">
        <f aca="false">M147</f>
        <v>47.6302814435299</v>
      </c>
      <c r="N269" s="207" t="n">
        <f aca="false">N147</f>
        <v>47.6302814435299</v>
      </c>
      <c r="O269" s="207" t="n">
        <f aca="false">O147</f>
        <v>67.3808039971155</v>
      </c>
      <c r="P269" s="207" t="n">
        <f aca="false">P147</f>
        <v>67.3808039971155</v>
      </c>
      <c r="Q269" s="207" t="n">
        <f aca="false">Q147</f>
        <v>67.3808039971155</v>
      </c>
      <c r="R26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2414</v>
      </c>
      <c r="U269" s="41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2" t="s">
        <v>2524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1" t="s">
        <v>2675</v>
      </c>
      <c r="B270" s="28" t="s">
        <v>1796</v>
      </c>
      <c r="C270" s="186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2.19262713846979</v>
      </c>
      <c r="D270" s="186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2.19262713846979</v>
      </c>
      <c r="E270" s="186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2.19262713846979</v>
      </c>
      <c r="F270" s="186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14.9421425268728</v>
      </c>
      <c r="G270" s="186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14.9421425268728</v>
      </c>
      <c r="H270" s="186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14.9421425268728</v>
      </c>
      <c r="I270" s="186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18.8008647830035</v>
      </c>
      <c r="J270" s="186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18.8008647830035</v>
      </c>
      <c r="K270" s="186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18.8008647830035</v>
      </c>
      <c r="L270" s="186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37.2592093918012</v>
      </c>
      <c r="M270" s="186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37.2592093918012</v>
      </c>
      <c r="N270" s="186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37.2592093918012</v>
      </c>
      <c r="O270" s="186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53.1969643993537</v>
      </c>
      <c r="P270" s="186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53.1969643993537</v>
      </c>
      <c r="Q270" s="186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53.1969643993537</v>
      </c>
      <c r="R27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2600</v>
      </c>
      <c r="U270" s="41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2" t="s">
        <v>2676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1" t="s">
        <v>2677</v>
      </c>
      <c r="B271" s="28" t="s">
        <v>1796</v>
      </c>
      <c r="C271" s="207" t="n">
        <f aca="false">IF(ISNUMBER(C270),C270*CTL_PriceLife*CTL_Monetize,C270)</f>
        <v>2.19262713846979</v>
      </c>
      <c r="D271" s="207" t="n">
        <f aca="false">IF(ISNUMBER(D270),D270*CTL_PriceLife*CTL_Monetize,D270)</f>
        <v>2.19262713846979</v>
      </c>
      <c r="E271" s="207" t="n">
        <f aca="false">IF(ISNUMBER(E270),E270*CTL_PriceLife*CTL_Monetize,E270)</f>
        <v>2.19262713846979</v>
      </c>
      <c r="F271" s="207" t="n">
        <f aca="false">IF(ISNUMBER(F270),F270*CTL_PriceLife*CTL_Monetize,F270)</f>
        <v>14.9421425268728</v>
      </c>
      <c r="G271" s="207" t="n">
        <f aca="false">IF(ISNUMBER(G270),G270*CTL_PriceLife*CTL_Monetize,G270)</f>
        <v>14.9421425268728</v>
      </c>
      <c r="H271" s="207" t="n">
        <f aca="false">IF(ISNUMBER(H270),H270*CTL_PriceLife*CTL_Monetize,H270)</f>
        <v>14.9421425268728</v>
      </c>
      <c r="I271" s="207" t="n">
        <f aca="false">IF(ISNUMBER(I270),I270*CTL_PriceLife*CTL_Monetize,I270)</f>
        <v>18.8008647830035</v>
      </c>
      <c r="J271" s="207" t="n">
        <f aca="false">IF(ISNUMBER(J270),J270*CTL_PriceLife*CTL_Monetize,J270)</f>
        <v>18.8008647830035</v>
      </c>
      <c r="K271" s="207" t="n">
        <f aca="false">IF(ISNUMBER(K270),K270*CTL_PriceLife*CTL_Monetize,K270)</f>
        <v>18.8008647830035</v>
      </c>
      <c r="L271" s="207" t="n">
        <f aca="false">IF(ISNUMBER(L270),L270*CTL_PriceLife*CTL_Monetize,L270)</f>
        <v>37.2592093918012</v>
      </c>
      <c r="M271" s="207" t="n">
        <f aca="false">IF(ISNUMBER(M270),M270*CTL_PriceLife*CTL_Monetize,M270)</f>
        <v>37.2592093918012</v>
      </c>
      <c r="N271" s="207" t="n">
        <f aca="false">IF(ISNUMBER(N270),N270*CTL_PriceLife*CTL_Monetize,N270)</f>
        <v>37.2592093918012</v>
      </c>
      <c r="O271" s="207" t="n">
        <f aca="false">IF(ISNUMBER(O270),O270*CTL_PriceLife*CTL_Monetize,O270)</f>
        <v>53.1969643993537</v>
      </c>
      <c r="P271" s="207" t="n">
        <f aca="false">IF(ISNUMBER(P270),P270*CTL_PriceLife*CTL_Monetize,P270)</f>
        <v>53.1969643993537</v>
      </c>
      <c r="Q271" s="207" t="n">
        <f aca="false">IF(ISNUMBER(Q270),Q270*CTL_PriceLife*CTL_Monetize,Q270)</f>
        <v>53.1969643993537</v>
      </c>
      <c r="R271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2612</v>
      </c>
      <c r="U271" s="41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2" t="s">
        <v>2678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2679</v>
      </c>
    </row>
    <row r="273" customFormat="false" ht="15" hidden="false" customHeight="true" outlineLevel="0" collapsed="false">
      <c r="A273" s="41" t="s">
        <v>2680</v>
      </c>
      <c r="B273" s="28" t="s">
        <v>787</v>
      </c>
      <c r="C273" s="54" t="n">
        <f aca="false">C21</f>
        <v>74067251304.9223</v>
      </c>
      <c r="D273" s="54" t="n">
        <f aca="false">D21</f>
        <v>74067251304.9223</v>
      </c>
      <c r="E273" s="54" t="n">
        <f aca="false">E21</f>
        <v>74067251304.9223</v>
      </c>
      <c r="F273" s="54" t="n">
        <f aca="false">F21</f>
        <v>362306894085.614</v>
      </c>
      <c r="G273" s="54" t="n">
        <f aca="false">G21</f>
        <v>362306894085.614</v>
      </c>
      <c r="H273" s="54" t="n">
        <f aca="false">H21</f>
        <v>362306894085.614</v>
      </c>
      <c r="I273" s="54" t="n">
        <f aca="false">I21</f>
        <v>527473919843.971</v>
      </c>
      <c r="J273" s="54" t="n">
        <f aca="false">J21</f>
        <v>527473919843.971</v>
      </c>
      <c r="K273" s="54" t="n">
        <f aca="false">K21</f>
        <v>527473919843.971</v>
      </c>
      <c r="L273" s="54" t="n">
        <f aca="false">L21</f>
        <v>772778400993.445</v>
      </c>
      <c r="M273" s="54" t="n">
        <f aca="false">M21</f>
        <v>772778400993.445</v>
      </c>
      <c r="N273" s="54" t="n">
        <f aca="false">N21</f>
        <v>772778400993.445</v>
      </c>
      <c r="O273" s="54" t="n">
        <f aca="false">O21</f>
        <v>1044373713057.39</v>
      </c>
      <c r="P273" s="54" t="n">
        <f aca="false">P21</f>
        <v>1044373713057.39</v>
      </c>
      <c r="Q273" s="54" t="n">
        <f aca="false">Q21</f>
        <v>1044373713057.39</v>
      </c>
      <c r="R273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2389</v>
      </c>
      <c r="U273" s="41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2" t="s">
        <v>2392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1" t="s">
        <v>2681</v>
      </c>
      <c r="B274" s="28" t="s">
        <v>787</v>
      </c>
      <c r="C274" s="54" t="n">
        <f aca="false">IF(ISNUMBER(C21),C21*IF_Util,C21)</f>
        <v>44440350782.9534</v>
      </c>
      <c r="D274" s="54" t="n">
        <f aca="false">IF(ISNUMBER(D21),D21*IF_Util,D21)</f>
        <v>44440350782.9534</v>
      </c>
      <c r="E274" s="54" t="n">
        <f aca="false">IF(ISNUMBER(E21),E21*IF_Util,E21)</f>
        <v>44440350782.9534</v>
      </c>
      <c r="F274" s="54" t="n">
        <f aca="false">IF(ISNUMBER(F21),F21*IF_Util,F21)</f>
        <v>217384136451.368</v>
      </c>
      <c r="G274" s="54" t="n">
        <f aca="false">IF(ISNUMBER(G21),G21*IF_Util,G21)</f>
        <v>217384136451.368</v>
      </c>
      <c r="H274" s="54" t="n">
        <f aca="false">IF(ISNUMBER(H21),H21*IF_Util,H21)</f>
        <v>217384136451.368</v>
      </c>
      <c r="I274" s="54" t="n">
        <f aca="false">IF(ISNUMBER(I21),I21*IF_Util,I21)</f>
        <v>316484351906.383</v>
      </c>
      <c r="J274" s="54" t="n">
        <f aca="false">IF(ISNUMBER(J21),J21*IF_Util,J21)</f>
        <v>316484351906.383</v>
      </c>
      <c r="K274" s="54" t="n">
        <f aca="false">IF(ISNUMBER(K21),K21*IF_Util,K21)</f>
        <v>316484351906.383</v>
      </c>
      <c r="L274" s="54" t="n">
        <f aca="false">IF(ISNUMBER(L21),L21*IF_Util,L21)</f>
        <v>463667040596.067</v>
      </c>
      <c r="M274" s="54" t="n">
        <f aca="false">IF(ISNUMBER(M21),M21*IF_Util,M21)</f>
        <v>463667040596.067</v>
      </c>
      <c r="N274" s="54" t="n">
        <f aca="false">IF(ISNUMBER(N21),N21*IF_Util,N21)</f>
        <v>463667040596.067</v>
      </c>
      <c r="O274" s="54" t="n">
        <f aca="false">IF(ISNUMBER(O21),O21*IF_Util,O21)</f>
        <v>626624227834.433</v>
      </c>
      <c r="P274" s="54" t="n">
        <f aca="false">IF(ISNUMBER(P21),P21*IF_Util,P21)</f>
        <v>626624227834.433</v>
      </c>
      <c r="Q274" s="54" t="n">
        <f aca="false">IF(ISNUMBER(Q21),Q21*IF_Util,Q21)</f>
        <v>626624227834.433</v>
      </c>
      <c r="R27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28" t="s">
        <v>2414</v>
      </c>
      <c r="U274" s="41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2" t="s">
        <v>2682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1" t="s">
        <v>2683</v>
      </c>
      <c r="B275" s="28" t="s">
        <v>787</v>
      </c>
      <c r="C275" s="46" t="n">
        <f aca="false">Theory_Rev_Prod!C10</f>
        <v>30459914981.947</v>
      </c>
      <c r="D275" s="46" t="n">
        <f aca="false">Theory_Rev_Prod!D10</f>
        <v>30459914981.947</v>
      </c>
      <c r="E275" s="46" t="n">
        <f aca="false">Theory_Rev_Prod!E10</f>
        <v>30459914981.947</v>
      </c>
      <c r="F275" s="46" t="n">
        <f aca="false">Theory_Rev_Prod!F10</f>
        <v>169939535002.135</v>
      </c>
      <c r="G275" s="46" t="n">
        <f aca="false">Theory_Rev_Prod!G10</f>
        <v>169939535002.135</v>
      </c>
      <c r="H275" s="46" t="n">
        <f aca="false">Theory_Rev_Prod!H10</f>
        <v>169939535002.135</v>
      </c>
      <c r="I275" s="46" t="n">
        <f aca="false">Theory_Rev_Prod!I10</f>
        <v>247410894264.839</v>
      </c>
      <c r="J275" s="46" t="n">
        <f aca="false">Theory_Rev_Prod!J10</f>
        <v>247410894264.839</v>
      </c>
      <c r="K275" s="46" t="n">
        <f aca="false">Theory_Rev_Prod!K10</f>
        <v>247410894264.839</v>
      </c>
      <c r="L275" s="46" t="n">
        <f aca="false">Theory_Rev_Prod!L10</f>
        <v>364947447719.714</v>
      </c>
      <c r="M275" s="46" t="n">
        <f aca="false">Theory_Rev_Prod!M10</f>
        <v>364947447719.714</v>
      </c>
      <c r="N275" s="46" t="n">
        <f aca="false">Theory_Rev_Prod!N10</f>
        <v>364947447719.714</v>
      </c>
      <c r="O275" s="46" t="n">
        <f aca="false">Theory_Rev_Prod!O10</f>
        <v>494044742874.106</v>
      </c>
      <c r="P275" s="46" t="n">
        <f aca="false">Theory_Rev_Prod!P10</f>
        <v>494044742874.106</v>
      </c>
      <c r="Q275" s="46" t="n">
        <f aca="false">Theory_Rev_Prod!Q10</f>
        <v>494044742874.106</v>
      </c>
      <c r="R27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28" t="s">
        <v>2600</v>
      </c>
      <c r="U275" s="41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75" s="52" t="s">
        <v>2684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1" t="s">
        <v>2685</v>
      </c>
      <c r="B276" s="28" t="s">
        <v>787</v>
      </c>
      <c r="C276" s="54" t="n">
        <f aca="false">IF(ISNUMBER(C275),C275*1,C275)</f>
        <v>30459914981.947</v>
      </c>
      <c r="D276" s="54" t="n">
        <f aca="false">IF(ISNUMBER(D275),D275*1,D275)</f>
        <v>30459914981.947</v>
      </c>
      <c r="E276" s="54" t="n">
        <f aca="false">IF(ISNUMBER(E275),E275*1,E275)</f>
        <v>30459914981.947</v>
      </c>
      <c r="F276" s="54" t="n">
        <f aca="false">IF(ISNUMBER(F275),F275*1,F275)</f>
        <v>169939535002.135</v>
      </c>
      <c r="G276" s="54" t="n">
        <f aca="false">IF(ISNUMBER(G275),G275*1,G275)</f>
        <v>169939535002.135</v>
      </c>
      <c r="H276" s="54" t="n">
        <f aca="false">IF(ISNUMBER(H275),H275*1,H275)</f>
        <v>169939535002.135</v>
      </c>
      <c r="I276" s="54" t="n">
        <f aca="false">IF(ISNUMBER(I275),I275*1,I275)</f>
        <v>247410894264.839</v>
      </c>
      <c r="J276" s="54" t="n">
        <f aca="false">IF(ISNUMBER(J275),J275*1,J275)</f>
        <v>247410894264.839</v>
      </c>
      <c r="K276" s="54" t="n">
        <f aca="false">IF(ISNUMBER(K275),K275*1,K275)</f>
        <v>247410894264.839</v>
      </c>
      <c r="L276" s="54" t="n">
        <f aca="false">IF(ISNUMBER(L275),L275*1,L275)</f>
        <v>364947447719.714</v>
      </c>
      <c r="M276" s="54" t="n">
        <f aca="false">IF(ISNUMBER(M275),M275*1,M275)</f>
        <v>364947447719.714</v>
      </c>
      <c r="N276" s="54" t="n">
        <f aca="false">IF(ISNUMBER(N275),N275*1,N275)</f>
        <v>364947447719.714</v>
      </c>
      <c r="O276" s="54" t="n">
        <f aca="false">IF(ISNUMBER(O275),O275*1,O275)</f>
        <v>494044742874.106</v>
      </c>
      <c r="P276" s="54" t="n">
        <f aca="false">IF(ISNUMBER(P275),P275*1,P275)</f>
        <v>494044742874.106</v>
      </c>
      <c r="Q276" s="54" t="n">
        <f aca="false">IF(ISNUMBER(Q275),Q275*1,Q275)</f>
        <v>494044742874.106</v>
      </c>
      <c r="R27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28" t="s">
        <v>2612</v>
      </c>
      <c r="U276" s="41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76" s="52" t="s">
        <v>2684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2679</v>
      </c>
    </row>
    <row r="278" customFormat="false" ht="15" hidden="false" customHeight="true" outlineLevel="0" collapsed="false">
      <c r="A278" s="41" t="s">
        <v>2686</v>
      </c>
      <c r="B278" s="28" t="s">
        <v>787</v>
      </c>
      <c r="C278" s="54" t="n">
        <f aca="false">C31</f>
        <v>21490429685.4234</v>
      </c>
      <c r="D278" s="54" t="n">
        <f aca="false">D31</f>
        <v>21490429685.4234</v>
      </c>
      <c r="E278" s="54" t="n">
        <f aca="false">E31</f>
        <v>21490429685.4234</v>
      </c>
      <c r="F278" s="54" t="n">
        <f aca="false">F31</f>
        <v>104125401080.667</v>
      </c>
      <c r="G278" s="54" t="n">
        <f aca="false">G31</f>
        <v>104125401080.667</v>
      </c>
      <c r="H278" s="54" t="n">
        <f aca="false">H31</f>
        <v>104125401080.667</v>
      </c>
      <c r="I278" s="54" t="n">
        <f aca="false">I31</f>
        <v>151593674754.548</v>
      </c>
      <c r="J278" s="54" t="n">
        <f aca="false">J31</f>
        <v>151593674754.548</v>
      </c>
      <c r="K278" s="54" t="n">
        <f aca="false">K31</f>
        <v>151593674754.548</v>
      </c>
      <c r="L278" s="54" t="n">
        <f aca="false">L31</f>
        <v>237287338734.99</v>
      </c>
      <c r="M278" s="54" t="n">
        <f aca="false">M31</f>
        <v>237287338734.99</v>
      </c>
      <c r="N278" s="54" t="n">
        <f aca="false">N31</f>
        <v>237287338734.99</v>
      </c>
      <c r="O278" s="54" t="n">
        <f aca="false">O31</f>
        <v>326185670522.351</v>
      </c>
      <c r="P278" s="54" t="n">
        <f aca="false">P31</f>
        <v>326185670522.351</v>
      </c>
      <c r="Q278" s="54" t="n">
        <f aca="false">Q31</f>
        <v>326185670522.351</v>
      </c>
      <c r="R278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2389</v>
      </c>
      <c r="U278" s="41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2" t="s">
        <v>2392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1" t="s">
        <v>2687</v>
      </c>
      <c r="B279" s="28" t="s">
        <v>787</v>
      </c>
      <c r="C279" s="54" t="n">
        <f aca="false">IF(ISNUMBER(C31),C31*IF_Util,C31)</f>
        <v>12894257811.2541</v>
      </c>
      <c r="D279" s="54" t="n">
        <f aca="false">IF(ISNUMBER(D31),D31*IF_Util,D31)</f>
        <v>12894257811.2541</v>
      </c>
      <c r="E279" s="54" t="n">
        <f aca="false">IF(ISNUMBER(E31),E31*IF_Util,E31)</f>
        <v>12894257811.2541</v>
      </c>
      <c r="F279" s="54" t="n">
        <f aca="false">IF(ISNUMBER(F31),F31*IF_Util,F31)</f>
        <v>62475240648.4001</v>
      </c>
      <c r="G279" s="54" t="n">
        <f aca="false">IF(ISNUMBER(G31),G31*IF_Util,G31)</f>
        <v>62475240648.4001</v>
      </c>
      <c r="H279" s="54" t="n">
        <f aca="false">IF(ISNUMBER(H31),H31*IF_Util,H31)</f>
        <v>62475240648.4001</v>
      </c>
      <c r="I279" s="54" t="n">
        <f aca="false">IF(ISNUMBER(I31),I31*IF_Util,I31)</f>
        <v>90956204852.7288</v>
      </c>
      <c r="J279" s="54" t="n">
        <f aca="false">IF(ISNUMBER(J31),J31*IF_Util,J31)</f>
        <v>90956204852.7288</v>
      </c>
      <c r="K279" s="54" t="n">
        <f aca="false">IF(ISNUMBER(K31),K31*IF_Util,K31)</f>
        <v>90956204852.7288</v>
      </c>
      <c r="L279" s="54" t="n">
        <f aca="false">IF(ISNUMBER(L31),L31*IF_Util,L31)</f>
        <v>142372403240.994</v>
      </c>
      <c r="M279" s="54" t="n">
        <f aca="false">IF(ISNUMBER(M31),M31*IF_Util,M31)</f>
        <v>142372403240.994</v>
      </c>
      <c r="N279" s="54" t="n">
        <f aca="false">IF(ISNUMBER(N31),N31*IF_Util,N31)</f>
        <v>142372403240.994</v>
      </c>
      <c r="O279" s="54" t="n">
        <f aca="false">IF(ISNUMBER(O31),O31*IF_Util,O31)</f>
        <v>195711402313.41</v>
      </c>
      <c r="P279" s="54" t="n">
        <f aca="false">IF(ISNUMBER(P31),P31*IF_Util,P31)</f>
        <v>195711402313.41</v>
      </c>
      <c r="Q279" s="54" t="n">
        <f aca="false">IF(ISNUMBER(Q31),Q31*IF_Util,Q31)</f>
        <v>195711402313.41</v>
      </c>
      <c r="R27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28" t="s">
        <v>2414</v>
      </c>
      <c r="U279" s="41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2" t="s">
        <v>2682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1" t="s">
        <v>2688</v>
      </c>
      <c r="B280" s="28" t="s">
        <v>787</v>
      </c>
      <c r="C280" s="46" t="n">
        <f aca="false">Theory_Rev_Prod!C28</f>
        <v>9416708844.02835</v>
      </c>
      <c r="D280" s="46" t="n">
        <f aca="false">Theory_Rev_Prod!D28</f>
        <v>9416708844.02835</v>
      </c>
      <c r="E280" s="46" t="n">
        <f aca="false">Theory_Rev_Prod!E28</f>
        <v>9416708844.02835</v>
      </c>
      <c r="F280" s="46" t="n">
        <f aca="false">Theory_Rev_Prod!F28</f>
        <v>49873311614.5235</v>
      </c>
      <c r="G280" s="46" t="n">
        <f aca="false">Theory_Rev_Prod!G28</f>
        <v>49873311614.5235</v>
      </c>
      <c r="H280" s="46" t="n">
        <f aca="false">Theory_Rev_Prod!H28</f>
        <v>49873311614.5235</v>
      </c>
      <c r="I280" s="46" t="n">
        <f aca="false">Theory_Rev_Prod!I28</f>
        <v>72609358536.5125</v>
      </c>
      <c r="J280" s="46" t="n">
        <f aca="false">Theory_Rev_Prod!J28</f>
        <v>72609358536.5125</v>
      </c>
      <c r="K280" s="46" t="n">
        <f aca="false">Theory_Rev_Prod!K28</f>
        <v>72609358536.5125</v>
      </c>
      <c r="L280" s="46" t="n">
        <f aca="false">Theory_Rev_Prod!L28</f>
        <v>114986431721.293</v>
      </c>
      <c r="M280" s="46" t="n">
        <f aca="false">Theory_Rev_Prod!M28</f>
        <v>114986431721.293</v>
      </c>
      <c r="N280" s="46" t="n">
        <f aca="false">Theory_Rev_Prod!N28</f>
        <v>114986431721.293</v>
      </c>
      <c r="O280" s="46" t="n">
        <f aca="false">Theory_Rev_Prod!O28</f>
        <v>158498904523.277</v>
      </c>
      <c r="P280" s="46" t="n">
        <f aca="false">Theory_Rev_Prod!P28</f>
        <v>158498904523.277</v>
      </c>
      <c r="Q280" s="46" t="n">
        <f aca="false">Theory_Rev_Prod!Q28</f>
        <v>158498904523.277</v>
      </c>
      <c r="R28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28" t="s">
        <v>2600</v>
      </c>
      <c r="U280" s="41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0" s="52" t="s">
        <v>2684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1" t="s">
        <v>2689</v>
      </c>
      <c r="B281" s="28" t="s">
        <v>787</v>
      </c>
      <c r="C281" s="54" t="n">
        <f aca="false">IF(ISNUMBER(C280),C280*1,C280)</f>
        <v>9416708844.02835</v>
      </c>
      <c r="D281" s="54" t="n">
        <f aca="false">IF(ISNUMBER(D280),D280*1,D280)</f>
        <v>9416708844.02835</v>
      </c>
      <c r="E281" s="54" t="n">
        <f aca="false">IF(ISNUMBER(E280),E280*1,E280)</f>
        <v>9416708844.02835</v>
      </c>
      <c r="F281" s="54" t="n">
        <f aca="false">IF(ISNUMBER(F280),F280*1,F280)</f>
        <v>49873311614.5235</v>
      </c>
      <c r="G281" s="54" t="n">
        <f aca="false">IF(ISNUMBER(G280),G280*1,G280)</f>
        <v>49873311614.5235</v>
      </c>
      <c r="H281" s="54" t="n">
        <f aca="false">IF(ISNUMBER(H280),H280*1,H280)</f>
        <v>49873311614.5235</v>
      </c>
      <c r="I281" s="54" t="n">
        <f aca="false">IF(ISNUMBER(I280),I280*1,I280)</f>
        <v>72609358536.5125</v>
      </c>
      <c r="J281" s="54" t="n">
        <f aca="false">IF(ISNUMBER(J280),J280*1,J280)</f>
        <v>72609358536.5125</v>
      </c>
      <c r="K281" s="54" t="n">
        <f aca="false">IF(ISNUMBER(K280),K280*1,K280)</f>
        <v>72609358536.5125</v>
      </c>
      <c r="L281" s="54" t="n">
        <f aca="false">IF(ISNUMBER(L280),L280*1,L280)</f>
        <v>114986431721.293</v>
      </c>
      <c r="M281" s="54" t="n">
        <f aca="false">IF(ISNUMBER(M280),M280*1,M280)</f>
        <v>114986431721.293</v>
      </c>
      <c r="N281" s="54" t="n">
        <f aca="false">IF(ISNUMBER(N280),N280*1,N280)</f>
        <v>114986431721.293</v>
      </c>
      <c r="O281" s="54" t="n">
        <f aca="false">IF(ISNUMBER(O280),O280*1,O280)</f>
        <v>158498904523.277</v>
      </c>
      <c r="P281" s="54" t="n">
        <f aca="false">IF(ISNUMBER(P280),P280*1,P280)</f>
        <v>158498904523.277</v>
      </c>
      <c r="Q281" s="54" t="n">
        <f aca="false">IF(ISNUMBER(Q280),Q280*1,Q280)</f>
        <v>158498904523.277</v>
      </c>
      <c r="R281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28" t="s">
        <v>2612</v>
      </c>
      <c r="U281" s="41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1" s="52" t="s">
        <v>2684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2679</v>
      </c>
    </row>
    <row r="283" customFormat="false" ht="15" hidden="false" customHeight="true" outlineLevel="0" collapsed="false">
      <c r="A283" s="41" t="s">
        <v>2690</v>
      </c>
      <c r="B283" s="28" t="s">
        <v>787</v>
      </c>
      <c r="C283" s="54" t="n">
        <f aca="false">C41</f>
        <v>3876518295.93805</v>
      </c>
      <c r="D283" s="54" t="n">
        <f aca="false">D41</f>
        <v>3876518295.93805</v>
      </c>
      <c r="E283" s="54" t="n">
        <f aca="false">E41</f>
        <v>3876518295.93805</v>
      </c>
      <c r="F283" s="54" t="n">
        <f aca="false">F41</f>
        <v>20041838664.2467</v>
      </c>
      <c r="G283" s="54" t="n">
        <f aca="false">G41</f>
        <v>20041838664.2467</v>
      </c>
      <c r="H283" s="54" t="n">
        <f aca="false">H41</f>
        <v>20041838664.2467</v>
      </c>
      <c r="I283" s="54" t="n">
        <f aca="false">I41</f>
        <v>24234237528.7831</v>
      </c>
      <c r="J283" s="54" t="n">
        <f aca="false">J41</f>
        <v>24234237528.7831</v>
      </c>
      <c r="K283" s="54" t="n">
        <f aca="false">K41</f>
        <v>24234237528.7831</v>
      </c>
      <c r="L283" s="54" t="n">
        <f aca="false">L41</f>
        <v>51167890551.5595</v>
      </c>
      <c r="M283" s="54" t="n">
        <f aca="false">M41</f>
        <v>51167890551.5595</v>
      </c>
      <c r="N283" s="54" t="n">
        <f aca="false">N41</f>
        <v>51167890551.5595</v>
      </c>
      <c r="O283" s="54" t="n">
        <f aca="false">O41</f>
        <v>74400955991.7707</v>
      </c>
      <c r="P283" s="54" t="n">
        <f aca="false">P41</f>
        <v>74400955991.7707</v>
      </c>
      <c r="Q283" s="54" t="n">
        <f aca="false">Q41</f>
        <v>74400955991.7707</v>
      </c>
      <c r="R283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2389</v>
      </c>
      <c r="U283" s="41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2" t="s">
        <v>2392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1" t="s">
        <v>2691</v>
      </c>
      <c r="B284" s="28" t="s">
        <v>787</v>
      </c>
      <c r="C284" s="54" t="n">
        <f aca="false">IF(ISNUMBER(C41),C41*IF_Util,C41)</f>
        <v>2325910977.56283</v>
      </c>
      <c r="D284" s="54" t="n">
        <f aca="false">IF(ISNUMBER(D41),D41*IF_Util,D41)</f>
        <v>2325910977.56283</v>
      </c>
      <c r="E284" s="54" t="n">
        <f aca="false">IF(ISNUMBER(E41),E41*IF_Util,E41)</f>
        <v>2325910977.56283</v>
      </c>
      <c r="F284" s="54" t="n">
        <f aca="false">IF(ISNUMBER(F41),F41*IF_Util,F41)</f>
        <v>12025103198.548</v>
      </c>
      <c r="G284" s="54" t="n">
        <f aca="false">IF(ISNUMBER(G41),G41*IF_Util,G41)</f>
        <v>12025103198.548</v>
      </c>
      <c r="H284" s="54" t="n">
        <f aca="false">IF(ISNUMBER(H41),H41*IF_Util,H41)</f>
        <v>12025103198.548</v>
      </c>
      <c r="I284" s="54" t="n">
        <f aca="false">IF(ISNUMBER(I41),I41*IF_Util,I41)</f>
        <v>14540542517.2698</v>
      </c>
      <c r="J284" s="54" t="n">
        <f aca="false">IF(ISNUMBER(J41),J41*IF_Util,J41)</f>
        <v>14540542517.2698</v>
      </c>
      <c r="K284" s="54" t="n">
        <f aca="false">IF(ISNUMBER(K41),K41*IF_Util,K41)</f>
        <v>14540542517.2698</v>
      </c>
      <c r="L284" s="54" t="n">
        <f aca="false">IF(ISNUMBER(L41),L41*IF_Util,L41)</f>
        <v>30700734330.9357</v>
      </c>
      <c r="M284" s="54" t="n">
        <f aca="false">IF(ISNUMBER(M41),M41*IF_Util,M41)</f>
        <v>30700734330.9357</v>
      </c>
      <c r="N284" s="54" t="n">
        <f aca="false">IF(ISNUMBER(N41),N41*IF_Util,N41)</f>
        <v>30700734330.9357</v>
      </c>
      <c r="O284" s="54" t="n">
        <f aca="false">IF(ISNUMBER(O41),O41*IF_Util,O41)</f>
        <v>44640573595.0624</v>
      </c>
      <c r="P284" s="54" t="n">
        <f aca="false">IF(ISNUMBER(P41),P41*IF_Util,P41)</f>
        <v>44640573595.0624</v>
      </c>
      <c r="Q284" s="54" t="n">
        <f aca="false">IF(ISNUMBER(Q41),Q41*IF_Util,Q41)</f>
        <v>44640573595.0624</v>
      </c>
      <c r="R28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28" t="s">
        <v>2414</v>
      </c>
      <c r="U284" s="41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2" t="s">
        <v>2682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1" t="s">
        <v>2692</v>
      </c>
      <c r="B285" s="28" t="s">
        <v>787</v>
      </c>
      <c r="C285" s="46" t="n">
        <f aca="false">Theory_Rev_Prod!C46</f>
        <v>1131081439.49092</v>
      </c>
      <c r="D285" s="46" t="n">
        <f aca="false">Theory_Rev_Prod!D46</f>
        <v>1131081439.49092</v>
      </c>
      <c r="E285" s="46" t="n">
        <f aca="false">Theory_Rev_Prod!E46</f>
        <v>1131081439.49092</v>
      </c>
      <c r="F285" s="46" t="n">
        <f aca="false">Theory_Rev_Prod!F46</f>
        <v>8811590625.56576</v>
      </c>
      <c r="G285" s="46" t="n">
        <f aca="false">Theory_Rev_Prod!G46</f>
        <v>8811590625.56576</v>
      </c>
      <c r="H285" s="46" t="n">
        <f aca="false">Theory_Rev_Prod!H46</f>
        <v>8811590625.56576</v>
      </c>
      <c r="I285" s="46" t="n">
        <f aca="false">Theory_Rev_Prod!I46</f>
        <v>10164954812.5931</v>
      </c>
      <c r="J285" s="46" t="n">
        <f aca="false">Theory_Rev_Prod!J46</f>
        <v>10164954812.5931</v>
      </c>
      <c r="K285" s="46" t="n">
        <f aca="false">Theory_Rev_Prod!K46</f>
        <v>10164954812.5931</v>
      </c>
      <c r="L285" s="46" t="n">
        <f aca="false">Theory_Rev_Prod!L46</f>
        <v>23512335581.9128</v>
      </c>
      <c r="M285" s="46" t="n">
        <f aca="false">Theory_Rev_Prod!M46</f>
        <v>23512335581.9128</v>
      </c>
      <c r="N285" s="46" t="n">
        <f aca="false">Theory_Rev_Prod!N46</f>
        <v>23512335581.9128</v>
      </c>
      <c r="O285" s="46" t="n">
        <f aca="false">Theory_Rev_Prod!O46</f>
        <v>34656308563.632</v>
      </c>
      <c r="P285" s="46" t="n">
        <f aca="false">Theory_Rev_Prod!P46</f>
        <v>34656308563.632</v>
      </c>
      <c r="Q285" s="46" t="n">
        <f aca="false">Theory_Rev_Prod!Q46</f>
        <v>34656308563.632</v>
      </c>
      <c r="R28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28" t="s">
        <v>2600</v>
      </c>
      <c r="U285" s="41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5" s="52" t="s">
        <v>2684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1" t="s">
        <v>2693</v>
      </c>
      <c r="B286" s="28" t="s">
        <v>787</v>
      </c>
      <c r="C286" s="54" t="n">
        <f aca="false">IF(ISNUMBER(C285),C285*1,C285)</f>
        <v>1131081439.49092</v>
      </c>
      <c r="D286" s="54" t="n">
        <f aca="false">IF(ISNUMBER(D285),D285*1,D285)</f>
        <v>1131081439.49092</v>
      </c>
      <c r="E286" s="54" t="n">
        <f aca="false">IF(ISNUMBER(E285),E285*1,E285)</f>
        <v>1131081439.49092</v>
      </c>
      <c r="F286" s="54" t="n">
        <f aca="false">IF(ISNUMBER(F285),F285*1,F285)</f>
        <v>8811590625.56576</v>
      </c>
      <c r="G286" s="54" t="n">
        <f aca="false">IF(ISNUMBER(G285),G285*1,G285)</f>
        <v>8811590625.56576</v>
      </c>
      <c r="H286" s="54" t="n">
        <f aca="false">IF(ISNUMBER(H285),H285*1,H285)</f>
        <v>8811590625.56576</v>
      </c>
      <c r="I286" s="54" t="n">
        <f aca="false">IF(ISNUMBER(I285),I285*1,I285)</f>
        <v>10164954812.5931</v>
      </c>
      <c r="J286" s="54" t="n">
        <f aca="false">IF(ISNUMBER(J285),J285*1,J285)</f>
        <v>10164954812.5931</v>
      </c>
      <c r="K286" s="54" t="n">
        <f aca="false">IF(ISNUMBER(K285),K285*1,K285)</f>
        <v>10164954812.5931</v>
      </c>
      <c r="L286" s="54" t="n">
        <f aca="false">IF(ISNUMBER(L285),L285*1,L285)</f>
        <v>23512335581.9128</v>
      </c>
      <c r="M286" s="54" t="n">
        <f aca="false">IF(ISNUMBER(M285),M285*1,M285)</f>
        <v>23512335581.9128</v>
      </c>
      <c r="N286" s="54" t="n">
        <f aca="false">IF(ISNUMBER(N285),N285*1,N285)</f>
        <v>23512335581.9128</v>
      </c>
      <c r="O286" s="54" t="n">
        <f aca="false">IF(ISNUMBER(O285),O285*1,O285)</f>
        <v>34656308563.632</v>
      </c>
      <c r="P286" s="54" t="n">
        <f aca="false">IF(ISNUMBER(P285),P285*1,P285)</f>
        <v>34656308563.632</v>
      </c>
      <c r="Q286" s="54" t="n">
        <f aca="false">IF(ISNUMBER(Q285),Q285*1,Q285)</f>
        <v>34656308563.632</v>
      </c>
      <c r="R28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28" t="s">
        <v>2612</v>
      </c>
      <c r="U286" s="41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6" s="52" t="s">
        <v>2684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2694</v>
      </c>
    </row>
    <row r="289" customFormat="false" ht="15" hidden="false" customHeight="true" outlineLevel="0" collapsed="false">
      <c r="A289" s="42" t="s">
        <v>2695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2" t="s">
        <v>2696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2" t="s">
        <v>2697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2" t="s">
        <v>2698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2" t="s">
        <v>2699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2" t="s">
        <v>2700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2" t="s">
        <v>2701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2" t="s">
        <v>2702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2" t="s">
        <v>2703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2" t="s">
        <v>2704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2" t="s">
        <v>2705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2" t="s">
        <v>2706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2" t="s">
        <v>2707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2" t="s">
        <v>2708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2" t="s">
        <v>2709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2" t="s">
        <v>2710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2" t="s">
        <v>2711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2" t="s">
        <v>2712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2" t="s">
        <v>2713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2" t="s">
        <v>2714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2" t="s">
        <v>2715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2" t="s">
        <v>2716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0" t="s">
        <v>2717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1" t="s">
        <v>2718</v>
      </c>
      <c r="B313" s="28" t="s">
        <v>1796</v>
      </c>
      <c r="C313" s="43" t="n">
        <f aca="false">(DC_Cost!C24*Inputs!$D$37)/CTL_GW</f>
        <v>0.0535506735</v>
      </c>
      <c r="D313" s="43" t="n">
        <f aca="false">(DC_Cost!D24*Inputs!$E$37)/CTL_GW</f>
        <v>0.13755107</v>
      </c>
      <c r="E313" s="43" t="n">
        <f aca="false">(DC_Cost!E24*Inputs!$F$37)/CTL_GW</f>
        <v>0.341207434</v>
      </c>
      <c r="F313" s="43" t="n">
        <f aca="false">(DC_Cost!F24*Inputs!$D$37)/CTL_GW</f>
        <v>0.051598476</v>
      </c>
      <c r="G313" s="43" t="n">
        <f aca="false">(DC_Cost!G24*Inputs!$E$37)/CTL_GW</f>
        <v>0.12007587</v>
      </c>
      <c r="H313" s="43" t="n">
        <f aca="false">(DC_Cost!H24*Inputs!$F$37)/CTL_GW</f>
        <v>0.276502044</v>
      </c>
      <c r="I313" s="43" t="n">
        <f aca="false">(DC_Cost!I24*Inputs!$D$37)/CTL_GW</f>
        <v>0.071387256</v>
      </c>
      <c r="J313" s="43" t="n">
        <f aca="false">(DC_Cost!J24*Inputs!$E$37)/CTL_GW</f>
        <v>0.16118612</v>
      </c>
      <c r="K313" s="43" t="n">
        <f aca="false">(DC_Cost!K24*Inputs!$F$37)/CTL_GW</f>
        <v>0.392826064</v>
      </c>
      <c r="L313" s="43" t="n">
        <f aca="false">(DC_Cost!L24*Inputs!$D$37)/CTL_GW</f>
        <v>0.083183508</v>
      </c>
      <c r="M313" s="43" t="n">
        <f aca="false">(DC_Cost!M24*Inputs!$E$37)/CTL_GW</f>
        <v>0.18793176</v>
      </c>
      <c r="N313" s="43" t="n">
        <f aca="false">(DC_Cost!N24*Inputs!$F$37)/CTL_GW</f>
        <v>0.426375752</v>
      </c>
      <c r="O313" s="43" t="n">
        <f aca="false">(DC_Cost!O24*Inputs!$D$37)/CTL_GW</f>
        <v>0.089613945</v>
      </c>
      <c r="P313" s="43" t="n">
        <f aca="false">(DC_Cost!P24*Inputs!$E$37)/CTL_GW</f>
        <v>0.2504289</v>
      </c>
      <c r="Q313" s="43" t="n">
        <f aca="false">(DC_Cost!Q24*Inputs!$F$37)/CTL_GW</f>
        <v>0.65481558</v>
      </c>
      <c r="R313" s="175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1" t="str">
        <f aca="false">IF(R313="—","—",IF(R313="A","基準輸入",IF(R313="B","情境、相對比較、反轉門檻","探索")))</f>
        <v>情境、相對比較、反轉門檻</v>
      </c>
      <c r="T313" s="28" t="s">
        <v>608</v>
      </c>
      <c r="U313" s="41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2" t="s">
        <v>2719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1" t="s">
        <v>2720</v>
      </c>
      <c r="B314" s="28" t="s">
        <v>1796</v>
      </c>
      <c r="C314" s="43" t="n">
        <f aca="false">(DC_Cost!C24*Inputs!$D$38)/CTL_GW</f>
        <v>0.428405388</v>
      </c>
      <c r="D314" s="43" t="n">
        <f aca="false">(DC_Cost!D24*Inputs!$E$38)/CTL_GW</f>
        <v>0.82530642</v>
      </c>
      <c r="E314" s="43" t="n">
        <f aca="false">(DC_Cost!E24*Inputs!$F$38)/CTL_GW</f>
        <v>1.70603717</v>
      </c>
      <c r="F314" s="43" t="n">
        <f aca="false">(DC_Cost!F24*Inputs!$D$38)/CTL_GW</f>
        <v>0.412787808</v>
      </c>
      <c r="G314" s="43" t="n">
        <f aca="false">(DC_Cost!G24*Inputs!$E$38)/CTL_GW</f>
        <v>0.72045522</v>
      </c>
      <c r="H314" s="43" t="n">
        <f aca="false">(DC_Cost!H24*Inputs!$F$38)/CTL_GW</f>
        <v>1.38251022</v>
      </c>
      <c r="I314" s="43" t="n">
        <f aca="false">(DC_Cost!I24*Inputs!$D$38)/CTL_GW</f>
        <v>0.571098048</v>
      </c>
      <c r="J314" s="43" t="n">
        <f aca="false">(DC_Cost!J24*Inputs!$E$38)/CTL_GW</f>
        <v>0.96711672</v>
      </c>
      <c r="K314" s="43" t="n">
        <f aca="false">(DC_Cost!K24*Inputs!$F$38)/CTL_GW</f>
        <v>1.96413032</v>
      </c>
      <c r="L314" s="43" t="n">
        <f aca="false">(DC_Cost!L24*Inputs!$D$38)/CTL_GW</f>
        <v>0.665468064</v>
      </c>
      <c r="M314" s="43" t="n">
        <f aca="false">(DC_Cost!M24*Inputs!$E$38)/CTL_GW</f>
        <v>1.12759056</v>
      </c>
      <c r="N314" s="43" t="n">
        <f aca="false">(DC_Cost!N24*Inputs!$F$38)/CTL_GW</f>
        <v>2.13187876</v>
      </c>
      <c r="O314" s="43" t="n">
        <f aca="false">(DC_Cost!O24*Inputs!$D$38)/CTL_GW</f>
        <v>0.71691156</v>
      </c>
      <c r="P314" s="43" t="n">
        <f aca="false">(DC_Cost!P24*Inputs!$E$38)/CTL_GW</f>
        <v>1.5025734</v>
      </c>
      <c r="Q314" s="43" t="n">
        <f aca="false">(DC_Cost!Q24*Inputs!$F$38)/CTL_GW</f>
        <v>3.2740779</v>
      </c>
      <c r="R314" s="175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1" t="str">
        <f aca="false">IF(R314="—","—",IF(R314="A","基準輸入",IF(R314="B","情境、相對比較、反轉門檻","探索")))</f>
        <v>情境、相對比較、反轉門檻</v>
      </c>
      <c r="T314" s="28" t="s">
        <v>608</v>
      </c>
      <c r="U314" s="41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2" t="s">
        <v>2719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2721</v>
      </c>
      <c r="B315" s="41" t="s">
        <v>128</v>
      </c>
      <c r="C315" s="31" t="n">
        <f aca="false">Inputs!E36</f>
        <v>3</v>
      </c>
      <c r="R315" s="175" t="str">
        <f aca="false">IF(SUM(Gov_Map!$AG$605)&gt;0,"C",IF(SUM(Gov_Map!$AH$605)&gt;0,"B","A"))</f>
        <v>A</v>
      </c>
      <c r="S315" s="41" t="str">
        <f aca="false">IF(R315="—","—",IF(R315="A","基準輸入",IF(R315="B","情境、相對比較、反轉門檻","探索")))</f>
        <v>基準輸入</v>
      </c>
      <c r="T315" s="28" t="s">
        <v>608</v>
      </c>
      <c r="U315" s="41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2" t="s">
        <v>2451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5" t="s">
        <v>2722</v>
      </c>
    </row>
    <row r="2" customFormat="false" ht="15" hidden="false" customHeight="false" outlineLevel="0" collapsed="false">
      <c r="A2" s="71" t="s">
        <v>2723</v>
      </c>
    </row>
    <row r="4" customFormat="false" ht="29.85" hidden="false" customHeight="false" outlineLevel="0" collapsed="false">
      <c r="A4" s="82" t="s">
        <v>2724</v>
      </c>
      <c r="B4" s="81" t="s">
        <v>2725</v>
      </c>
      <c r="C4" s="81" t="s">
        <v>2726</v>
      </c>
      <c r="D4" s="81" t="s">
        <v>2727</v>
      </c>
      <c r="E4" s="81" t="s">
        <v>1137</v>
      </c>
      <c r="F4" s="81" t="s">
        <v>1138</v>
      </c>
      <c r="G4" s="81" t="s">
        <v>77</v>
      </c>
      <c r="H4" s="81" t="s">
        <v>2728</v>
      </c>
      <c r="I4" s="81" t="s">
        <v>2729</v>
      </c>
      <c r="J4" s="81" t="s">
        <v>2730</v>
      </c>
      <c r="K4" s="81" t="s">
        <v>2731</v>
      </c>
      <c r="L4" s="81" t="s">
        <v>2732</v>
      </c>
      <c r="M4" s="81" t="s">
        <v>2733</v>
      </c>
      <c r="N4" s="81" t="s">
        <v>2734</v>
      </c>
      <c r="O4" s="81" t="s">
        <v>2735</v>
      </c>
      <c r="P4" s="81" t="s">
        <v>529</v>
      </c>
      <c r="Q4" s="81" t="s">
        <v>38</v>
      </c>
      <c r="R4" s="81" t="s">
        <v>2736</v>
      </c>
      <c r="S4" s="81" t="s">
        <v>2737</v>
      </c>
    </row>
    <row r="5" customFormat="false" ht="29.85" hidden="false" customHeight="false" outlineLevel="0" collapsed="false">
      <c r="A5" s="59" t="s">
        <v>2738</v>
      </c>
      <c r="B5" s="5" t="s">
        <v>2739</v>
      </c>
      <c r="C5" s="5" t="s">
        <v>2740</v>
      </c>
      <c r="D5" s="123" t="n">
        <f aca="false">INDEX(IF_CapexTotal,1,2)</f>
        <v>40.180214</v>
      </c>
      <c r="E5" s="113" t="n">
        <f aca="false">INDEX(IF_CapexTotal,1,1)</f>
        <v>31.6322694</v>
      </c>
      <c r="F5" s="113" t="n">
        <f aca="false">INDEX(IF_CapexTotal,1,3)</f>
        <v>50.3067434</v>
      </c>
      <c r="G5" s="59" t="s">
        <v>2741</v>
      </c>
      <c r="H5" s="5" t="s">
        <v>2742</v>
      </c>
      <c r="I5" s="6" t="s">
        <v>2743</v>
      </c>
      <c r="J5" s="5" t="s">
        <v>2744</v>
      </c>
      <c r="K5" s="5" t="s">
        <v>2745</v>
      </c>
      <c r="L5" s="59" t="s">
        <v>608</v>
      </c>
      <c r="M5" s="113" t="s">
        <v>608</v>
      </c>
      <c r="N5" s="113" t="s">
        <v>608</v>
      </c>
      <c r="O5" s="74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9" t="s">
        <v>2738</v>
      </c>
      <c r="R5" s="59" t="s">
        <v>2746</v>
      </c>
      <c r="S5" s="6" t="s">
        <v>608</v>
      </c>
    </row>
    <row r="6" customFormat="false" ht="29.85" hidden="false" customHeight="false" outlineLevel="0" collapsed="false">
      <c r="A6" s="59" t="s">
        <v>2747</v>
      </c>
      <c r="B6" s="5" t="s">
        <v>2748</v>
      </c>
      <c r="C6" s="5" t="s">
        <v>2740</v>
      </c>
      <c r="D6" s="123" t="n">
        <f aca="false">INDEX(IF_CapexTotal,1,5)</f>
        <v>36.685174</v>
      </c>
      <c r="E6" s="113" t="n">
        <f aca="false">INDEX(IF_CapexTotal,1,4)</f>
        <v>30.8513904</v>
      </c>
      <c r="F6" s="113" t="n">
        <f aca="false">INDEX(IF_CapexTotal,1,6)</f>
        <v>43.8362044</v>
      </c>
      <c r="G6" s="59" t="s">
        <v>2741</v>
      </c>
      <c r="H6" s="5" t="s">
        <v>2742</v>
      </c>
      <c r="I6" s="6" t="s">
        <v>2743</v>
      </c>
      <c r="J6" s="5" t="s">
        <v>2744</v>
      </c>
      <c r="K6" s="5" t="s">
        <v>2745</v>
      </c>
      <c r="L6" s="59" t="s">
        <v>608</v>
      </c>
      <c r="M6" s="113" t="s">
        <v>608</v>
      </c>
      <c r="N6" s="113" t="s">
        <v>608</v>
      </c>
      <c r="O6" s="74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9" t="s">
        <v>2747</v>
      </c>
      <c r="R6" s="59" t="s">
        <v>2746</v>
      </c>
      <c r="S6" s="6" t="s">
        <v>608</v>
      </c>
    </row>
    <row r="7" customFormat="false" ht="29.85" hidden="false" customHeight="false" outlineLevel="0" collapsed="false">
      <c r="A7" s="59" t="s">
        <v>2749</v>
      </c>
      <c r="B7" s="5" t="s">
        <v>2750</v>
      </c>
      <c r="C7" s="5" t="s">
        <v>2740</v>
      </c>
      <c r="D7" s="123" t="n">
        <f aca="false">INDEX(IF_CapexTotal,1,8)</f>
        <v>44.907224</v>
      </c>
      <c r="E7" s="113" t="n">
        <f aca="false">INDEX(IF_CapexTotal,1,7)</f>
        <v>38.7669024</v>
      </c>
      <c r="F7" s="113" t="n">
        <f aca="false">INDEX(IF_CapexTotal,1,9)</f>
        <v>55.4686064</v>
      </c>
      <c r="G7" s="59" t="s">
        <v>2741</v>
      </c>
      <c r="H7" s="5" t="s">
        <v>2742</v>
      </c>
      <c r="I7" s="6" t="s">
        <v>2743</v>
      </c>
      <c r="J7" s="5" t="s">
        <v>2744</v>
      </c>
      <c r="K7" s="5" t="s">
        <v>2745</v>
      </c>
      <c r="L7" s="59" t="s">
        <v>608</v>
      </c>
      <c r="M7" s="113" t="s">
        <v>608</v>
      </c>
      <c r="N7" s="113" t="s">
        <v>608</v>
      </c>
      <c r="O7" s="74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9" t="s">
        <v>2749</v>
      </c>
      <c r="R7" s="59" t="s">
        <v>2746</v>
      </c>
      <c r="S7" s="6" t="s">
        <v>608</v>
      </c>
    </row>
    <row r="8" customFormat="false" ht="29.85" hidden="false" customHeight="false" outlineLevel="0" collapsed="false">
      <c r="A8" s="59" t="s">
        <v>2751</v>
      </c>
      <c r="B8" s="5" t="s">
        <v>2752</v>
      </c>
      <c r="C8" s="5" t="s">
        <v>2740</v>
      </c>
      <c r="D8" s="123" t="n">
        <f aca="false">INDEX(IF_CapexTotal,1,11)</f>
        <v>50.256352</v>
      </c>
      <c r="E8" s="113" t="n">
        <f aca="false">INDEX(IF_CapexTotal,1,10)</f>
        <v>43.4854032</v>
      </c>
      <c r="F8" s="113" t="n">
        <f aca="false">INDEX(IF_CapexTotal,1,12)</f>
        <v>58.8235752</v>
      </c>
      <c r="G8" s="59" t="s">
        <v>2741</v>
      </c>
      <c r="H8" s="5" t="s">
        <v>2742</v>
      </c>
      <c r="I8" s="6" t="s">
        <v>2743</v>
      </c>
      <c r="J8" s="5" t="s">
        <v>2744</v>
      </c>
      <c r="K8" s="5" t="s">
        <v>2745</v>
      </c>
      <c r="L8" s="59" t="s">
        <v>2753</v>
      </c>
      <c r="M8" s="92" t="n">
        <f aca="false">SRC_DC_010_Lo</f>
        <v>50</v>
      </c>
      <c r="N8" s="92" t="n">
        <f aca="false">SRC_DC_010_Hi</f>
        <v>60</v>
      </c>
      <c r="O8" s="74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9" t="s">
        <v>2751</v>
      </c>
      <c r="R8" s="59" t="s">
        <v>2746</v>
      </c>
      <c r="S8" s="5" t="s">
        <v>2754</v>
      </c>
    </row>
    <row r="9" customFormat="false" ht="29.85" hidden="false" customHeight="false" outlineLevel="0" collapsed="false">
      <c r="A9" s="59" t="s">
        <v>2755</v>
      </c>
      <c r="B9" s="5" t="s">
        <v>2756</v>
      </c>
      <c r="C9" s="5" t="s">
        <v>2757</v>
      </c>
      <c r="D9" s="114" t="n">
        <f aca="false">DC_Cost!M19/CTL_GW</f>
        <v>34.0368</v>
      </c>
      <c r="E9" s="92" t="n">
        <f aca="false">DC_Cost!L19/CTL_GW</f>
        <v>31.6056</v>
      </c>
      <c r="F9" s="92" t="n">
        <f aca="false">DC_Cost!N19/CTL_GW</f>
        <v>36.8732</v>
      </c>
      <c r="G9" s="59" t="s">
        <v>2741</v>
      </c>
      <c r="H9" s="5" t="s">
        <v>2742</v>
      </c>
      <c r="I9" s="5" t="s">
        <v>2758</v>
      </c>
      <c r="J9" s="5" t="s">
        <v>2759</v>
      </c>
      <c r="K9" s="5" t="s">
        <v>2745</v>
      </c>
      <c r="L9" s="59" t="s">
        <v>2760</v>
      </c>
      <c r="M9" s="92" t="n">
        <f aca="false">SRC_DC_011</f>
        <v>35</v>
      </c>
      <c r="N9" s="92" t="n">
        <f aca="false">SRC_DC_011</f>
        <v>35</v>
      </c>
      <c r="O9" s="74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9" t="s">
        <v>2755</v>
      </c>
      <c r="R9" s="59" t="s">
        <v>2761</v>
      </c>
      <c r="S9" s="5" t="s">
        <v>2762</v>
      </c>
    </row>
    <row r="10" customFormat="false" ht="44" hidden="false" customHeight="false" outlineLevel="0" collapsed="false">
      <c r="A10" s="59" t="s">
        <v>2763</v>
      </c>
      <c r="B10" s="5" t="s">
        <v>2764</v>
      </c>
      <c r="C10" s="5" t="s">
        <v>2765</v>
      </c>
      <c r="D10" s="114" t="n">
        <f aca="false">DC_Cost!M36</f>
        <v>12.67</v>
      </c>
      <c r="E10" s="92" t="n">
        <f aca="false">DC_Cost!L36</f>
        <v>10.212</v>
      </c>
      <c r="F10" s="92" t="n">
        <f aca="false">DC_Cost!N36</f>
        <v>16.186</v>
      </c>
      <c r="G10" s="59" t="s">
        <v>114</v>
      </c>
      <c r="H10" s="5" t="s">
        <v>2742</v>
      </c>
      <c r="I10" s="5" t="s">
        <v>2766</v>
      </c>
      <c r="J10" s="5" t="s">
        <v>2767</v>
      </c>
      <c r="K10" s="5" t="s">
        <v>2768</v>
      </c>
      <c r="L10" s="59" t="s">
        <v>2769</v>
      </c>
      <c r="M10" s="92" t="n">
        <f aca="false">SRC_DC_003*(1+SRC_DC_004_Lo)</f>
        <v>12.091</v>
      </c>
      <c r="N10" s="92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9" t="s">
        <v>2763</v>
      </c>
      <c r="R10" s="59" t="s">
        <v>2770</v>
      </c>
      <c r="S10" s="5" t="s">
        <v>2771</v>
      </c>
    </row>
    <row r="11" customFormat="false" ht="29.85" hidden="false" customHeight="false" outlineLevel="0" collapsed="false">
      <c r="A11" s="59" t="s">
        <v>2772</v>
      </c>
      <c r="B11" s="5" t="s">
        <v>2773</v>
      </c>
      <c r="C11" s="5" t="s">
        <v>2774</v>
      </c>
      <c r="D11" s="123" t="n">
        <f aca="false">INDEX(IF_HoldEcon,1,2)</f>
        <v>9.70308728611469</v>
      </c>
      <c r="E11" s="113" t="n">
        <f aca="false">INDEX(IF_HoldEcon,1,1)</f>
        <v>6.79107465326444</v>
      </c>
      <c r="F11" s="113" t="n">
        <f aca="false">INDEX(IF_HoldEcon,1,3)</f>
        <v>16.6637697337026</v>
      </c>
      <c r="G11" s="59" t="s">
        <v>1547</v>
      </c>
      <c r="H11" s="5" t="s">
        <v>2742</v>
      </c>
      <c r="I11" s="5" t="s">
        <v>2775</v>
      </c>
      <c r="J11" s="6" t="s">
        <v>2776</v>
      </c>
      <c r="K11" s="5" t="s">
        <v>2777</v>
      </c>
      <c r="L11" s="59" t="s">
        <v>608</v>
      </c>
      <c r="M11" s="113" t="s">
        <v>608</v>
      </c>
      <c r="N11" s="113" t="s">
        <v>608</v>
      </c>
      <c r="O11" s="74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9" t="s">
        <v>2772</v>
      </c>
      <c r="R11" s="59" t="s">
        <v>2778</v>
      </c>
      <c r="S11" s="6" t="s">
        <v>608</v>
      </c>
    </row>
    <row r="12" customFormat="false" ht="29.85" hidden="false" customHeight="false" outlineLevel="0" collapsed="false">
      <c r="A12" s="59" t="s">
        <v>2779</v>
      </c>
      <c r="B12" s="5" t="s">
        <v>2780</v>
      </c>
      <c r="C12" s="5" t="s">
        <v>2774</v>
      </c>
      <c r="D12" s="123" t="n">
        <f aca="false">INDEX(IF_HoldEcon,1,5)</f>
        <v>8.82816556596761</v>
      </c>
      <c r="E12" s="113" t="n">
        <f aca="false">INDEX(IF_HoldEcon,1,4)</f>
        <v>6.6118162762144</v>
      </c>
      <c r="F12" s="113" t="n">
        <f aca="false">INDEX(IF_HoldEcon,1,6)</f>
        <v>14.3185748619737</v>
      </c>
      <c r="G12" s="59" t="s">
        <v>1547</v>
      </c>
      <c r="H12" s="5" t="s">
        <v>2742</v>
      </c>
      <c r="I12" s="5" t="s">
        <v>2775</v>
      </c>
      <c r="J12" s="6" t="s">
        <v>2776</v>
      </c>
      <c r="K12" s="5" t="s">
        <v>2777</v>
      </c>
      <c r="L12" s="59" t="s">
        <v>608</v>
      </c>
      <c r="M12" s="113" t="s">
        <v>608</v>
      </c>
      <c r="N12" s="113" t="s">
        <v>608</v>
      </c>
      <c r="O12" s="74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9" t="s">
        <v>2779</v>
      </c>
      <c r="R12" s="59" t="s">
        <v>2778</v>
      </c>
      <c r="S12" s="6" t="s">
        <v>608</v>
      </c>
    </row>
    <row r="13" customFormat="false" ht="29.85" hidden="false" customHeight="false" outlineLevel="0" collapsed="false">
      <c r="A13" s="59" t="s">
        <v>2781</v>
      </c>
      <c r="B13" s="5" t="s">
        <v>2782</v>
      </c>
      <c r="C13" s="5" t="s">
        <v>2774</v>
      </c>
      <c r="D13" s="123" t="n">
        <f aca="false">INDEX(IF_HoldEcon,1,8)</f>
        <v>10.8864110021101</v>
      </c>
      <c r="E13" s="113" t="n">
        <f aca="false">INDEX(IF_HoldEcon,1,7)</f>
        <v>8.42889912085495</v>
      </c>
      <c r="F13" s="113" t="n">
        <f aca="false">INDEX(IF_HoldEcon,1,9)</f>
        <v>18.5346455040469</v>
      </c>
      <c r="G13" s="59" t="s">
        <v>1547</v>
      </c>
      <c r="H13" s="5" t="s">
        <v>2742</v>
      </c>
      <c r="I13" s="5" t="s">
        <v>2775</v>
      </c>
      <c r="J13" s="6" t="s">
        <v>2776</v>
      </c>
      <c r="K13" s="5" t="s">
        <v>2777</v>
      </c>
      <c r="L13" s="59" t="s">
        <v>608</v>
      </c>
      <c r="M13" s="113" t="s">
        <v>608</v>
      </c>
      <c r="N13" s="113" t="s">
        <v>608</v>
      </c>
      <c r="O13" s="74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9" t="s">
        <v>2781</v>
      </c>
      <c r="R13" s="59" t="s">
        <v>2778</v>
      </c>
      <c r="S13" s="6" t="s">
        <v>608</v>
      </c>
    </row>
    <row r="14" customFormat="false" ht="29.85" hidden="false" customHeight="false" outlineLevel="0" collapsed="false">
      <c r="A14" s="59" t="s">
        <v>2783</v>
      </c>
      <c r="B14" s="5" t="s">
        <v>2784</v>
      </c>
      <c r="C14" s="5" t="s">
        <v>2774</v>
      </c>
      <c r="D14" s="123" t="n">
        <f aca="false">INDEX(IF_HoldEcon,1,11)</f>
        <v>12.2254710045841</v>
      </c>
      <c r="E14" s="113" t="n">
        <f aca="false">INDEX(IF_HoldEcon,1,10)</f>
        <v>9.51207691858967</v>
      </c>
      <c r="F14" s="113" t="n">
        <f aca="false">INDEX(IF_HoldEcon,1,12)</f>
        <v>19.7506269894487</v>
      </c>
      <c r="G14" s="59" t="s">
        <v>1547</v>
      </c>
      <c r="H14" s="5" t="s">
        <v>2742</v>
      </c>
      <c r="I14" s="5" t="s">
        <v>2775</v>
      </c>
      <c r="J14" s="6" t="s">
        <v>2776</v>
      </c>
      <c r="K14" s="5" t="s">
        <v>2777</v>
      </c>
      <c r="L14" s="59" t="s">
        <v>608</v>
      </c>
      <c r="M14" s="113" t="s">
        <v>608</v>
      </c>
      <c r="N14" s="113" t="s">
        <v>608</v>
      </c>
      <c r="O14" s="74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9" t="s">
        <v>2783</v>
      </c>
      <c r="R14" s="59" t="s">
        <v>2778</v>
      </c>
      <c r="S14" s="6" t="s">
        <v>608</v>
      </c>
    </row>
    <row r="15" customFormat="false" ht="29.85" hidden="false" customHeight="false" outlineLevel="0" collapsed="false">
      <c r="A15" s="59" t="s">
        <v>2785</v>
      </c>
      <c r="B15" s="5" t="s">
        <v>2786</v>
      </c>
      <c r="C15" s="6" t="s">
        <v>2787</v>
      </c>
      <c r="D15" s="123" t="n">
        <f aca="false">INDEX(IF_GPUhrEcon,1,2)</f>
        <v>1.54259654785589</v>
      </c>
      <c r="E15" s="113" t="n">
        <f aca="false">INDEX(IF_GPUhrEcon,1,1)</f>
        <v>1.07964486018265</v>
      </c>
      <c r="F15" s="113" t="n">
        <f aca="false">INDEX(IF_GPUhrEcon,1,3)</f>
        <v>2.64920565047995</v>
      </c>
      <c r="G15" s="59" t="s">
        <v>840</v>
      </c>
      <c r="H15" s="5" t="s">
        <v>2742</v>
      </c>
      <c r="I15" s="5" t="s">
        <v>2788</v>
      </c>
      <c r="J15" s="5" t="s">
        <v>2789</v>
      </c>
      <c r="K15" s="5" t="s">
        <v>2777</v>
      </c>
      <c r="L15" s="59" t="s">
        <v>608</v>
      </c>
      <c r="M15" s="113" t="s">
        <v>608</v>
      </c>
      <c r="N15" s="113" t="s">
        <v>608</v>
      </c>
      <c r="O15" s="74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9" t="s">
        <v>2785</v>
      </c>
      <c r="R15" s="59" t="s">
        <v>2790</v>
      </c>
      <c r="S15" s="6" t="s">
        <v>608</v>
      </c>
    </row>
    <row r="16" customFormat="false" ht="44" hidden="false" customHeight="false" outlineLevel="0" collapsed="false">
      <c r="A16" s="59" t="s">
        <v>2791</v>
      </c>
      <c r="B16" s="5" t="s">
        <v>2792</v>
      </c>
      <c r="C16" s="6" t="s">
        <v>2787</v>
      </c>
      <c r="D16" s="123" t="n">
        <f aca="false">INDEX(IF_GPUhrEcon,1,5)</f>
        <v>2.00846099652078</v>
      </c>
      <c r="E16" s="113" t="n">
        <f aca="false">INDEX(IF_GPUhrEcon,1,4)</f>
        <v>1.50422814430785</v>
      </c>
      <c r="F16" s="113" t="n">
        <f aca="false">INDEX(IF_GPUhrEcon,1,6)</f>
        <v>3.25756227849869</v>
      </c>
      <c r="G16" s="59" t="s">
        <v>840</v>
      </c>
      <c r="H16" s="5" t="s">
        <v>2742</v>
      </c>
      <c r="I16" s="5" t="s">
        <v>2788</v>
      </c>
      <c r="J16" s="5" t="s">
        <v>2789</v>
      </c>
      <c r="K16" s="5" t="s">
        <v>2777</v>
      </c>
      <c r="L16" s="59" t="s">
        <v>2793</v>
      </c>
      <c r="M16" s="92" t="n">
        <f aca="false">SRC_DC_012</f>
        <v>2.21</v>
      </c>
      <c r="N16" s="92" t="n">
        <f aca="false">SRC_DC_012</f>
        <v>2.21</v>
      </c>
      <c r="O16" s="74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9" t="s">
        <v>2791</v>
      </c>
      <c r="R16" s="59" t="s">
        <v>2790</v>
      </c>
      <c r="S16" s="5" t="s">
        <v>2794</v>
      </c>
    </row>
    <row r="17" customFormat="false" ht="44" hidden="false" customHeight="false" outlineLevel="0" collapsed="false">
      <c r="A17" s="59" t="s">
        <v>2795</v>
      </c>
      <c r="B17" s="5" t="s">
        <v>2796</v>
      </c>
      <c r="C17" s="6" t="s">
        <v>2787</v>
      </c>
      <c r="D17" s="123" t="n">
        <f aca="false">INDEX(IF_GPUhrEcon,1,8)</f>
        <v>2.55178761329595</v>
      </c>
      <c r="E17" s="113" t="n">
        <f aca="false">INDEX(IF_GPUhrEcon,1,7)</f>
        <v>1.97574392204647</v>
      </c>
      <c r="F17" s="113" t="n">
        <f aca="false">INDEX(IF_GPUhrEcon,1,9)</f>
        <v>4.34454282544458</v>
      </c>
      <c r="G17" s="59" t="s">
        <v>840</v>
      </c>
      <c r="H17" s="5" t="s">
        <v>2742</v>
      </c>
      <c r="I17" s="5" t="s">
        <v>2788</v>
      </c>
      <c r="J17" s="5" t="s">
        <v>2789</v>
      </c>
      <c r="K17" s="5" t="s">
        <v>2777</v>
      </c>
      <c r="L17" s="59" t="s">
        <v>2797</v>
      </c>
      <c r="M17" s="92" t="n">
        <f aca="false">SRC_DC_013</f>
        <v>2.65</v>
      </c>
      <c r="N17" s="92" t="n">
        <f aca="false">SRC_DC_013</f>
        <v>2.65</v>
      </c>
      <c r="O17" s="74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9" t="s">
        <v>2795</v>
      </c>
      <c r="R17" s="59" t="s">
        <v>2790</v>
      </c>
      <c r="S17" s="5" t="s">
        <v>2794</v>
      </c>
    </row>
    <row r="18" customFormat="false" ht="29.85" hidden="false" customHeight="false" outlineLevel="0" collapsed="false">
      <c r="A18" s="59" t="s">
        <v>2798</v>
      </c>
      <c r="B18" s="5" t="s">
        <v>2799</v>
      </c>
      <c r="C18" s="6" t="s">
        <v>2787</v>
      </c>
      <c r="D18" s="123" t="n">
        <f aca="false">INDEX(IF_GPUhrEcon,1,11)</f>
        <v>4.78365180724219</v>
      </c>
      <c r="E18" s="113" t="n">
        <f aca="false">INDEX(IF_GPUhrEcon,1,10)</f>
        <v>3.72193954123947</v>
      </c>
      <c r="F18" s="113" t="n">
        <f aca="false">INDEX(IF_GPUhrEcon,1,12)</f>
        <v>7.72813762813851</v>
      </c>
      <c r="G18" s="59" t="s">
        <v>840</v>
      </c>
      <c r="H18" s="5" t="s">
        <v>2742</v>
      </c>
      <c r="I18" s="5" t="s">
        <v>2788</v>
      </c>
      <c r="J18" s="5" t="s">
        <v>2789</v>
      </c>
      <c r="K18" s="5" t="s">
        <v>2777</v>
      </c>
      <c r="L18" s="59" t="s">
        <v>608</v>
      </c>
      <c r="M18" s="113" t="s">
        <v>608</v>
      </c>
      <c r="N18" s="113" t="s">
        <v>608</v>
      </c>
      <c r="O18" s="74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9" t="s">
        <v>2798</v>
      </c>
      <c r="R18" s="59" t="s">
        <v>2790</v>
      </c>
      <c r="S18" s="6" t="s">
        <v>608</v>
      </c>
    </row>
    <row r="19" customFormat="false" ht="44" hidden="false" customHeight="false" outlineLevel="0" collapsed="false">
      <c r="A19" s="59" t="s">
        <v>2800</v>
      </c>
      <c r="B19" s="6" t="s">
        <v>2801</v>
      </c>
      <c r="C19" s="5" t="s">
        <v>2802</v>
      </c>
      <c r="D19" s="123" t="n">
        <f aca="false">INDEX(IF_CostDec_Luna,1,11)</f>
        <v>0.103646620561882</v>
      </c>
      <c r="E19" s="113" t="n">
        <f aca="false">INDEX(IF_CostDec_Luna,1,10)</f>
        <v>0.0806426702715034</v>
      </c>
      <c r="F19" s="113" t="n">
        <f aca="false">INDEX(IF_CostDec_Luna,1,12)</f>
        <v>0.167444325103472</v>
      </c>
      <c r="G19" s="59" t="s">
        <v>795</v>
      </c>
      <c r="H19" s="5" t="s">
        <v>2742</v>
      </c>
      <c r="I19" s="5" t="s">
        <v>2803</v>
      </c>
      <c r="J19" s="6" t="s">
        <v>2804</v>
      </c>
      <c r="K19" s="5" t="s">
        <v>2805</v>
      </c>
      <c r="L19" s="59" t="s">
        <v>608</v>
      </c>
      <c r="M19" s="113" t="s">
        <v>608</v>
      </c>
      <c r="N19" s="113" t="s">
        <v>608</v>
      </c>
      <c r="O19" s="74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9" t="s">
        <v>2800</v>
      </c>
      <c r="R19" s="59" t="s">
        <v>2806</v>
      </c>
      <c r="S19" s="6" t="s">
        <v>2807</v>
      </c>
    </row>
    <row r="20" customFormat="false" ht="44" hidden="false" customHeight="false" outlineLevel="0" collapsed="false">
      <c r="A20" s="59" t="s">
        <v>2808</v>
      </c>
      <c r="B20" s="6" t="s">
        <v>2809</v>
      </c>
      <c r="C20" s="5" t="s">
        <v>2802</v>
      </c>
      <c r="D20" s="123" t="n">
        <f aca="false">INDEX(IF_CostDec_Luna,1,8)</f>
        <v>0.137536094679954</v>
      </c>
      <c r="E20" s="113" t="n">
        <f aca="false">INDEX(IF_CostDec_Luna,1,7)</f>
        <v>0.106488526596046</v>
      </c>
      <c r="F20" s="113" t="n">
        <f aca="false">INDEX(IF_CostDec_Luna,1,9)</f>
        <v>0.234161906840545</v>
      </c>
      <c r="G20" s="59" t="s">
        <v>795</v>
      </c>
      <c r="H20" s="5" t="s">
        <v>2742</v>
      </c>
      <c r="I20" s="5" t="s">
        <v>2803</v>
      </c>
      <c r="J20" s="6" t="s">
        <v>2804</v>
      </c>
      <c r="K20" s="5" t="s">
        <v>2805</v>
      </c>
      <c r="L20" s="59" t="s">
        <v>608</v>
      </c>
      <c r="M20" s="113" t="s">
        <v>608</v>
      </c>
      <c r="N20" s="113" t="s">
        <v>608</v>
      </c>
      <c r="O20" s="74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9" t="s">
        <v>2808</v>
      </c>
      <c r="R20" s="59" t="s">
        <v>2806</v>
      </c>
      <c r="S20" s="6" t="s">
        <v>608</v>
      </c>
    </row>
    <row r="21" customFormat="false" ht="44" hidden="false" customHeight="false" outlineLevel="0" collapsed="false">
      <c r="A21" s="59" t="s">
        <v>2810</v>
      </c>
      <c r="B21" s="6" t="s">
        <v>2811</v>
      </c>
      <c r="C21" s="5" t="s">
        <v>2802</v>
      </c>
      <c r="D21" s="123" t="n">
        <f aca="false">INDEX(IF_CostDec_Sol,1,11)</f>
        <v>0.329255999075451</v>
      </c>
      <c r="E21" s="113" t="n">
        <f aca="false">INDEX(IF_CostDec_Sol,1,10)</f>
        <v>0.256178955227036</v>
      </c>
      <c r="F21" s="113" t="n">
        <f aca="false">INDEX(IF_CostDec_Sol,1,12)</f>
        <v>0.531923262452556</v>
      </c>
      <c r="G21" s="59" t="s">
        <v>795</v>
      </c>
      <c r="H21" s="5" t="s">
        <v>2742</v>
      </c>
      <c r="I21" s="5" t="s">
        <v>2803</v>
      </c>
      <c r="J21" s="6" t="s">
        <v>2804</v>
      </c>
      <c r="K21" s="5" t="s">
        <v>2805</v>
      </c>
      <c r="L21" s="59" t="s">
        <v>608</v>
      </c>
      <c r="M21" s="113" t="s">
        <v>608</v>
      </c>
      <c r="N21" s="113" t="s">
        <v>608</v>
      </c>
      <c r="O21" s="74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9" t="s">
        <v>2810</v>
      </c>
      <c r="R21" s="59" t="s">
        <v>2806</v>
      </c>
      <c r="S21" s="6" t="s">
        <v>2807</v>
      </c>
    </row>
    <row r="22" customFormat="false" ht="44" hidden="false" customHeight="false" outlineLevel="0" collapsed="false">
      <c r="A22" s="59" t="s">
        <v>2812</v>
      </c>
      <c r="B22" s="6" t="s">
        <v>2813</v>
      </c>
      <c r="C22" s="5" t="s">
        <v>2802</v>
      </c>
      <c r="D22" s="123" t="n">
        <f aca="false">INDEX(IF_CostDec_Sol,1,8)</f>
        <v>0.478981262565029</v>
      </c>
      <c r="E22" s="113" t="n">
        <f aca="false">INDEX(IF_CostDec_Sol,1,7)</f>
        <v>0.37085544006724</v>
      </c>
      <c r="F22" s="113" t="n">
        <f aca="false">INDEX(IF_CostDec_Sol,1,9)</f>
        <v>0.815488952511794</v>
      </c>
      <c r="G22" s="59" t="s">
        <v>795</v>
      </c>
      <c r="H22" s="5" t="s">
        <v>2742</v>
      </c>
      <c r="I22" s="5" t="s">
        <v>2803</v>
      </c>
      <c r="J22" s="6" t="s">
        <v>2804</v>
      </c>
      <c r="K22" s="5" t="s">
        <v>2805</v>
      </c>
      <c r="L22" s="59" t="s">
        <v>608</v>
      </c>
      <c r="M22" s="113" t="s">
        <v>608</v>
      </c>
      <c r="N22" s="113" t="s">
        <v>608</v>
      </c>
      <c r="O22" s="74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9" t="s">
        <v>2812</v>
      </c>
      <c r="R22" s="59" t="s">
        <v>2806</v>
      </c>
      <c r="S22" s="6" t="s">
        <v>608</v>
      </c>
    </row>
    <row r="23" customFormat="false" ht="44" hidden="false" customHeight="false" outlineLevel="0" collapsed="false">
      <c r="A23" s="59" t="s">
        <v>2814</v>
      </c>
      <c r="B23" s="6" t="s">
        <v>2815</v>
      </c>
      <c r="C23" s="5" t="s">
        <v>2802</v>
      </c>
      <c r="D23" s="123" t="n">
        <f aca="false">INDEX(IF_CostDec_Astra,1,11)</f>
        <v>1.70435816575049</v>
      </c>
      <c r="E23" s="113" t="n">
        <f aca="false">INDEX(IF_CostDec_Astra,1,10)</f>
        <v>1.32608273033948</v>
      </c>
      <c r="F23" s="113" t="n">
        <f aca="false">INDEX(IF_CostDec_Astra,1,12)</f>
        <v>2.7534433949855</v>
      </c>
      <c r="G23" s="59" t="s">
        <v>795</v>
      </c>
      <c r="H23" s="5" t="s">
        <v>2742</v>
      </c>
      <c r="I23" s="5" t="s">
        <v>2803</v>
      </c>
      <c r="J23" s="6" t="s">
        <v>2804</v>
      </c>
      <c r="K23" s="5" t="s">
        <v>2805</v>
      </c>
      <c r="L23" s="59" t="s">
        <v>608</v>
      </c>
      <c r="M23" s="113" t="s">
        <v>608</v>
      </c>
      <c r="N23" s="113" t="s">
        <v>608</v>
      </c>
      <c r="O23" s="74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9" t="s">
        <v>2814</v>
      </c>
      <c r="R23" s="59" t="s">
        <v>2806</v>
      </c>
      <c r="S23" s="6" t="s">
        <v>2807</v>
      </c>
    </row>
    <row r="24" customFormat="false" ht="44" hidden="false" customHeight="false" outlineLevel="0" collapsed="false">
      <c r="A24" s="59" t="s">
        <v>2816</v>
      </c>
      <c r="B24" s="6" t="s">
        <v>2817</v>
      </c>
      <c r="C24" s="5" t="s">
        <v>2802</v>
      </c>
      <c r="D24" s="123" t="n">
        <f aca="false">INDEX(IF_CostDec_Astra,1,8)</f>
        <v>3.48781422353906</v>
      </c>
      <c r="E24" s="113" t="n">
        <f aca="false">INDEX(IF_CostDec_Astra,1,7)</f>
        <v>2.70047072784554</v>
      </c>
      <c r="F24" s="113" t="n">
        <f aca="false">INDEX(IF_CostDec_Astra,1,9)</f>
        <v>5.93817376587556</v>
      </c>
      <c r="G24" s="59" t="s">
        <v>795</v>
      </c>
      <c r="H24" s="5" t="s">
        <v>2742</v>
      </c>
      <c r="I24" s="5" t="s">
        <v>2803</v>
      </c>
      <c r="J24" s="6" t="s">
        <v>2804</v>
      </c>
      <c r="K24" s="5" t="s">
        <v>2805</v>
      </c>
      <c r="L24" s="59" t="s">
        <v>608</v>
      </c>
      <c r="M24" s="113" t="s">
        <v>608</v>
      </c>
      <c r="N24" s="113" t="s">
        <v>608</v>
      </c>
      <c r="O24" s="74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9" t="s">
        <v>2816</v>
      </c>
      <c r="R24" s="59" t="s">
        <v>2806</v>
      </c>
      <c r="S24" s="6" t="s">
        <v>608</v>
      </c>
    </row>
    <row r="25" customFormat="false" ht="29.85" hidden="false" customHeight="false" outlineLevel="0" collapsed="false">
      <c r="A25" s="59" t="s">
        <v>2818</v>
      </c>
      <c r="B25" s="6" t="s">
        <v>2819</v>
      </c>
      <c r="C25" s="5" t="s">
        <v>2820</v>
      </c>
      <c r="D25" s="114" t="n">
        <f aca="false">DC_Cost!J58/(Calib!C17*3600)*1000000</f>
        <v>0.0758747918114994</v>
      </c>
      <c r="E25" s="92" t="n">
        <f aca="false">DC_Cost!I58/(Calib!C17*3600)*1000000</f>
        <v>0.0587467224846683</v>
      </c>
      <c r="F25" s="92" t="n">
        <f aca="false">DC_Cost!K58/(Calib!C17*3600)*1000000</f>
        <v>0.129180532376273</v>
      </c>
      <c r="G25" s="59" t="s">
        <v>2821</v>
      </c>
      <c r="H25" s="5" t="s">
        <v>2742</v>
      </c>
      <c r="I25" s="5" t="s">
        <v>2822</v>
      </c>
      <c r="J25" s="5" t="s">
        <v>2823</v>
      </c>
      <c r="K25" s="6" t="s">
        <v>2824</v>
      </c>
      <c r="L25" s="59" t="s">
        <v>2825</v>
      </c>
      <c r="M25" s="92" t="n">
        <f aca="false">SRC_PERF_011</f>
        <v>0.078</v>
      </c>
      <c r="N25" s="92" t="n">
        <f aca="false">SRC_PERF_011</f>
        <v>0.078</v>
      </c>
      <c r="O25" s="74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9" t="s">
        <v>2818</v>
      </c>
      <c r="R25" s="59" t="s">
        <v>2826</v>
      </c>
      <c r="S25" s="6" t="s">
        <v>2827</v>
      </c>
    </row>
    <row r="26" customFormat="false" ht="44" hidden="false" customHeight="false" outlineLevel="0" collapsed="false">
      <c r="A26" s="59" t="s">
        <v>2828</v>
      </c>
      <c r="B26" s="5" t="s">
        <v>2829</v>
      </c>
      <c r="C26" s="6" t="s">
        <v>2830</v>
      </c>
      <c r="D26" s="123" t="n">
        <f aca="false">INDEX(IF_RevGW_Luna,1,11)</f>
        <v>37.2582226398973</v>
      </c>
      <c r="E26" s="92" t="n">
        <f aca="false">INDEX(IF_RevGW_Luna,1,11)*(Sens_Rev!$B$6/IF_Util)</f>
        <v>24.8388150932649</v>
      </c>
      <c r="F26" s="92" t="n">
        <f aca="false">INDEX(IF_RevGW_Luna,1,11)*(Sens_Rev!$B$7/IF_Util)</f>
        <v>49.6776301865298</v>
      </c>
      <c r="G26" s="59" t="s">
        <v>1547</v>
      </c>
      <c r="H26" s="5" t="s">
        <v>2831</v>
      </c>
      <c r="I26" s="5" t="s">
        <v>2832</v>
      </c>
      <c r="J26" s="5" t="s">
        <v>2833</v>
      </c>
      <c r="K26" s="5" t="s">
        <v>2834</v>
      </c>
      <c r="L26" s="59" t="s">
        <v>608</v>
      </c>
      <c r="M26" s="113" t="s">
        <v>608</v>
      </c>
      <c r="N26" s="113" t="s">
        <v>608</v>
      </c>
      <c r="O26" s="74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9" t="s">
        <v>2828</v>
      </c>
      <c r="R26" s="59" t="s">
        <v>2835</v>
      </c>
      <c r="S26" s="5" t="s">
        <v>2836</v>
      </c>
    </row>
    <row r="27" customFormat="false" ht="44" hidden="false" customHeight="false" outlineLevel="0" collapsed="false">
      <c r="A27" s="59" t="s">
        <v>2837</v>
      </c>
      <c r="B27" s="5" t="s">
        <v>2838</v>
      </c>
      <c r="C27" s="6" t="s">
        <v>2830</v>
      </c>
      <c r="D27" s="123" t="n">
        <f aca="false">INDEX(IF_RevGW_Sol,1,11)</f>
        <v>228.808271164193</v>
      </c>
      <c r="E27" s="92" t="n">
        <f aca="false">INDEX(IF_RevGW_Sol,1,11)*(Sens_Rev!$B$6/IF_Util)</f>
        <v>152.538847442795</v>
      </c>
      <c r="F27" s="92" t="n">
        <f aca="false">INDEX(IF_RevGW_Sol,1,11)*(Sens_Rev!$B$7/IF_Util)</f>
        <v>305.07769488559</v>
      </c>
      <c r="G27" s="59" t="s">
        <v>1547</v>
      </c>
      <c r="H27" s="5" t="s">
        <v>2831</v>
      </c>
      <c r="I27" s="5" t="s">
        <v>2832</v>
      </c>
      <c r="J27" s="5" t="s">
        <v>2833</v>
      </c>
      <c r="K27" s="5" t="s">
        <v>2834</v>
      </c>
      <c r="L27" s="59" t="s">
        <v>608</v>
      </c>
      <c r="M27" s="113" t="s">
        <v>608</v>
      </c>
      <c r="N27" s="113" t="s">
        <v>608</v>
      </c>
      <c r="O27" s="74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9" t="s">
        <v>2837</v>
      </c>
      <c r="R27" s="59" t="s">
        <v>2835</v>
      </c>
      <c r="S27" s="5" t="s">
        <v>2836</v>
      </c>
    </row>
    <row r="28" customFormat="false" ht="44" hidden="false" customHeight="false" outlineLevel="0" collapsed="false">
      <c r="A28" s="59" t="s">
        <v>2839</v>
      </c>
      <c r="B28" s="5" t="s">
        <v>2840</v>
      </c>
      <c r="C28" s="6" t="s">
        <v>2830</v>
      </c>
      <c r="D28" s="123" t="n">
        <f aca="false">INDEX(IF_RevGW_Astra,1,11)</f>
        <v>246.697456312585</v>
      </c>
      <c r="E28" s="92" t="n">
        <f aca="false">INDEX(IF_RevGW_Astra,1,11)*(Sens_Rev!$B$6/IF_Util)</f>
        <v>164.464970875057</v>
      </c>
      <c r="F28" s="92" t="n">
        <f aca="false">INDEX(IF_RevGW_Astra,1,11)*(Sens_Rev!$B$7/IF_Util)</f>
        <v>328.929941750114</v>
      </c>
      <c r="G28" s="59" t="s">
        <v>1547</v>
      </c>
      <c r="H28" s="5" t="s">
        <v>2831</v>
      </c>
      <c r="I28" s="5" t="s">
        <v>2832</v>
      </c>
      <c r="J28" s="5" t="s">
        <v>2833</v>
      </c>
      <c r="K28" s="5" t="s">
        <v>2834</v>
      </c>
      <c r="L28" s="59" t="s">
        <v>608</v>
      </c>
      <c r="M28" s="113" t="s">
        <v>608</v>
      </c>
      <c r="N28" s="113" t="s">
        <v>608</v>
      </c>
      <c r="O28" s="74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9" t="s">
        <v>2839</v>
      </c>
      <c r="R28" s="59" t="s">
        <v>2835</v>
      </c>
      <c r="S28" s="5" t="s">
        <v>2836</v>
      </c>
    </row>
    <row r="29" customFormat="false" ht="44" hidden="false" customHeight="false" outlineLevel="0" collapsed="false">
      <c r="A29" s="59" t="s">
        <v>2841</v>
      </c>
      <c r="B29" s="6" t="s">
        <v>2842</v>
      </c>
      <c r="C29" s="6" t="s">
        <v>2830</v>
      </c>
      <c r="D29" s="123" t="n">
        <f aca="false">INDEX(IF_RevGWFleet,1,11)</f>
        <v>48.7237019639935</v>
      </c>
      <c r="E29" s="92" t="n">
        <f aca="false">INDEX(IF_RevGWFleet,1,11)*(Sens_Rev!$B$6/IF_Util)</f>
        <v>32.4824679759956</v>
      </c>
      <c r="F29" s="92" t="n">
        <f aca="false">INDEX(IF_RevGWFleet,1,11)*(Sens_Rev!$B$7/IF_Util)</f>
        <v>64.9649359519913</v>
      </c>
      <c r="G29" s="59" t="s">
        <v>1547</v>
      </c>
      <c r="H29" s="5" t="s">
        <v>2831</v>
      </c>
      <c r="I29" s="5" t="s">
        <v>2832</v>
      </c>
      <c r="J29" s="5" t="s">
        <v>2833</v>
      </c>
      <c r="K29" s="5" t="s">
        <v>2834</v>
      </c>
      <c r="L29" s="59" t="s">
        <v>608</v>
      </c>
      <c r="M29" s="113" t="s">
        <v>608</v>
      </c>
      <c r="N29" s="113" t="s">
        <v>608</v>
      </c>
      <c r="O29" s="74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9" t="s">
        <v>2841</v>
      </c>
      <c r="R29" s="59" t="s">
        <v>2835</v>
      </c>
      <c r="S29" s="5" t="s">
        <v>2836</v>
      </c>
    </row>
    <row r="30" customFormat="false" ht="29.85" hidden="false" customHeight="false" outlineLevel="0" collapsed="false">
      <c r="A30" s="59" t="s">
        <v>2843</v>
      </c>
      <c r="B30" s="5" t="s">
        <v>2844</v>
      </c>
      <c r="C30" s="6" t="s">
        <v>2787</v>
      </c>
      <c r="D30" s="123" t="n">
        <f aca="false">INDEX(IF_GPUhrEcon,1,5)</f>
        <v>2.00846099652078</v>
      </c>
      <c r="E30" s="113" t="n">
        <f aca="false">INDEX(IF_GPUhrEcon,1,4)</f>
        <v>1.50422814430785</v>
      </c>
      <c r="F30" s="113" t="n">
        <f aca="false">INDEX(IF_GPUhrEcon,1,6)</f>
        <v>3.25756227849869</v>
      </c>
      <c r="G30" s="59" t="s">
        <v>840</v>
      </c>
      <c r="H30" s="5" t="s">
        <v>2742</v>
      </c>
      <c r="I30" s="5" t="s">
        <v>2845</v>
      </c>
      <c r="J30" s="5" t="s">
        <v>2789</v>
      </c>
      <c r="K30" s="5" t="s">
        <v>2846</v>
      </c>
      <c r="L30" s="59" t="s">
        <v>2847</v>
      </c>
      <c r="M30" s="92" t="n">
        <f aca="false">SRC_PRC_001/4</f>
        <v>10.5</v>
      </c>
      <c r="N30" s="92" t="n">
        <f aca="false">SRC_PRC_001/4</f>
        <v>10.5</v>
      </c>
      <c r="O30" s="74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9" t="s">
        <v>2843</v>
      </c>
      <c r="R30" s="59" t="s">
        <v>2848</v>
      </c>
      <c r="S30" s="5" t="s">
        <v>2849</v>
      </c>
    </row>
    <row r="31" customFormat="false" ht="44" hidden="false" customHeight="false" outlineLevel="0" collapsed="false">
      <c r="A31" s="59" t="s">
        <v>2850</v>
      </c>
      <c r="B31" s="5" t="s">
        <v>2851</v>
      </c>
      <c r="C31" s="6" t="s">
        <v>2787</v>
      </c>
      <c r="D31" s="123" t="n">
        <f aca="false">INDEX(IF_GPUhrEcon,1,8)</f>
        <v>2.55178761329595</v>
      </c>
      <c r="E31" s="113" t="n">
        <f aca="false">INDEX(IF_GPUhrEcon,1,7)</f>
        <v>1.97574392204647</v>
      </c>
      <c r="F31" s="113" t="n">
        <f aca="false">INDEX(IF_GPUhrEcon,1,9)</f>
        <v>4.34454282544458</v>
      </c>
      <c r="G31" s="59" t="s">
        <v>840</v>
      </c>
      <c r="H31" s="5" t="s">
        <v>2742</v>
      </c>
      <c r="I31" s="5" t="s">
        <v>2852</v>
      </c>
      <c r="J31" s="5" t="s">
        <v>2789</v>
      </c>
      <c r="K31" s="5" t="s">
        <v>2853</v>
      </c>
      <c r="L31" s="59" t="s">
        <v>2854</v>
      </c>
      <c r="M31" s="92" t="n">
        <f aca="false">SRC_PRC_002</f>
        <v>3.57</v>
      </c>
      <c r="N31" s="92" t="n">
        <f aca="false">SRC_PRC_002</f>
        <v>3.57</v>
      </c>
      <c r="O31" s="74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59" t="s">
        <v>2850</v>
      </c>
      <c r="R31" s="59" t="s">
        <v>2855</v>
      </c>
      <c r="S31" s="5" t="s">
        <v>2856</v>
      </c>
    </row>
    <row r="32" customFormat="false" ht="29.85" hidden="false" customHeight="false" outlineLevel="0" collapsed="false">
      <c r="A32" s="59" t="s">
        <v>2857</v>
      </c>
      <c r="B32" s="6" t="s">
        <v>2858</v>
      </c>
      <c r="C32" s="6" t="s">
        <v>2859</v>
      </c>
      <c r="D32" s="114" t="n">
        <f aca="false">Training!$M$78</f>
        <v>0.371397626434424</v>
      </c>
      <c r="E32" s="92" t="n">
        <f aca="false">Sens_Train!$O$78</f>
        <v>0.111419287930327</v>
      </c>
      <c r="F32" s="92" t="n">
        <f aca="false">Sens_Train!$Q$78</f>
        <v>1.11419287930327</v>
      </c>
      <c r="G32" s="59" t="s">
        <v>97</v>
      </c>
      <c r="H32" s="6" t="s">
        <v>2860</v>
      </c>
      <c r="I32" s="5" t="s">
        <v>2861</v>
      </c>
      <c r="J32" s="6" t="s">
        <v>2862</v>
      </c>
      <c r="K32" s="6" t="s">
        <v>2863</v>
      </c>
      <c r="L32" s="59" t="s">
        <v>2864</v>
      </c>
      <c r="M32" s="92" t="n">
        <f aca="false">SRC_MOD_034/SRC_MOD_040</f>
        <v>0.0551801801801802</v>
      </c>
      <c r="N32" s="92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9" t="s">
        <v>2857</v>
      </c>
      <c r="R32" s="59" t="s">
        <v>2865</v>
      </c>
      <c r="S32" s="5" t="s">
        <v>2866</v>
      </c>
    </row>
    <row r="33" customFormat="false" ht="44" hidden="false" customHeight="false" outlineLevel="0" collapsed="false">
      <c r="A33" s="59" t="s">
        <v>2867</v>
      </c>
      <c r="B33" s="6" t="s">
        <v>2868</v>
      </c>
      <c r="C33" s="6" t="s">
        <v>2859</v>
      </c>
      <c r="D33" s="114" t="n">
        <f aca="false">Training!$N$78</f>
        <v>1.12717162997901</v>
      </c>
      <c r="E33" s="92" t="n">
        <f aca="false">Sens_Train!$P$78</f>
        <v>0.338151488993704</v>
      </c>
      <c r="F33" s="92" t="n">
        <f aca="false">Sens_Train!$R$78</f>
        <v>3.38151488993704</v>
      </c>
      <c r="G33" s="59" t="s">
        <v>97</v>
      </c>
      <c r="H33" s="6" t="s">
        <v>2860</v>
      </c>
      <c r="I33" s="5" t="s">
        <v>2869</v>
      </c>
      <c r="J33" s="6" t="s">
        <v>2862</v>
      </c>
      <c r="K33" s="6" t="s">
        <v>2863</v>
      </c>
      <c r="L33" s="59" t="s">
        <v>2870</v>
      </c>
      <c r="M33" s="92" t="n">
        <f aca="false">SRC_MOD_036</f>
        <v>1</v>
      </c>
      <c r="N33" s="92" t="n">
        <f aca="false">SRC_MOD_036</f>
        <v>1</v>
      </c>
      <c r="O33" s="74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9" t="s">
        <v>2867</v>
      </c>
      <c r="R33" s="59" t="s">
        <v>2871</v>
      </c>
      <c r="S33" s="5" t="s">
        <v>2872</v>
      </c>
    </row>
    <row r="34" customFormat="false" ht="29.85" hidden="false" customHeight="false" outlineLevel="0" collapsed="false">
      <c r="A34" s="59" t="s">
        <v>2873</v>
      </c>
      <c r="B34" s="5" t="s">
        <v>2874</v>
      </c>
      <c r="C34" s="6" t="s">
        <v>2875</v>
      </c>
      <c r="D34" s="114" t="n">
        <f aca="false">1/Train_In!$C$13</f>
        <v>0.125</v>
      </c>
      <c r="E34" s="92" t="n">
        <f aca="false">1/Sens_Train!$AE$119</f>
        <v>0.0961538461538462</v>
      </c>
      <c r="F34" s="92" t="n">
        <f aca="false">1/Sens_Train!$AC$119</f>
        <v>0.227272727272727</v>
      </c>
      <c r="G34" s="59" t="s">
        <v>93</v>
      </c>
      <c r="H34" s="5" t="s">
        <v>2876</v>
      </c>
      <c r="I34" s="5" t="s">
        <v>2877</v>
      </c>
      <c r="J34" s="5" t="s">
        <v>2878</v>
      </c>
      <c r="K34" s="5" t="s">
        <v>2879</v>
      </c>
      <c r="L34" s="59" t="s">
        <v>2880</v>
      </c>
      <c r="M34" s="92" t="n">
        <f aca="false">MIN(SRC_DEM_001,SRC_DEM_002,SRC_DEM_003)</f>
        <v>0.096</v>
      </c>
      <c r="N34" s="92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9" t="s">
        <v>2873</v>
      </c>
      <c r="R34" s="59" t="s">
        <v>2881</v>
      </c>
      <c r="S34" s="5" t="s">
        <v>2882</v>
      </c>
    </row>
    <row r="35" customFormat="false" ht="72.35" hidden="false" customHeight="false" outlineLevel="0" collapsed="false">
      <c r="A35" s="59" t="s">
        <v>2883</v>
      </c>
      <c r="B35" s="6" t="s">
        <v>2884</v>
      </c>
      <c r="C35" s="6" t="s">
        <v>2885</v>
      </c>
      <c r="D35" s="114" t="n">
        <f aca="false">Checks!$B$43</f>
        <v>10.9578708377053</v>
      </c>
      <c r="E35" s="92" t="n">
        <f aca="false">Checks!$B$43</f>
        <v>10.9578708377053</v>
      </c>
      <c r="F35" s="92" t="n">
        <f aca="false">Checks!$B$43</f>
        <v>10.9578708377053</v>
      </c>
      <c r="G35" s="59" t="s">
        <v>1547</v>
      </c>
      <c r="H35" s="5" t="s">
        <v>2886</v>
      </c>
      <c r="I35" s="5" t="s">
        <v>2887</v>
      </c>
      <c r="J35" s="6" t="s">
        <v>2888</v>
      </c>
      <c r="K35" s="6" t="s">
        <v>2889</v>
      </c>
      <c r="L35" s="59" t="s">
        <v>2890</v>
      </c>
      <c r="M35" s="92" t="n">
        <f aca="false">SRC_DEM_007/((SRC_DEM_008+SRC_DEM_009)/2)</f>
        <v>10.456</v>
      </c>
      <c r="N35" s="92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9" t="s">
        <v>2883</v>
      </c>
      <c r="R35" s="59" t="s">
        <v>2891</v>
      </c>
      <c r="S35" s="5" t="s">
        <v>2892</v>
      </c>
    </row>
    <row r="36" customFormat="false" ht="58.2" hidden="false" customHeight="false" outlineLevel="0" collapsed="false">
      <c r="A36" s="59" t="s">
        <v>2893</v>
      </c>
      <c r="B36" s="6" t="s">
        <v>2894</v>
      </c>
      <c r="C36" s="6" t="s">
        <v>2895</v>
      </c>
      <c r="D36" s="114" t="n">
        <f aca="false">Training!$N$31*Training!$N$34*1E+021</f>
        <v>6.8423878656E+025</v>
      </c>
      <c r="E36" s="92" t="n">
        <f aca="false">Training!$N$31*Training!$N$34*1E+021</f>
        <v>6.8423878656E+025</v>
      </c>
      <c r="F36" s="92" t="n">
        <f aca="false">Training!$N$31*Training!$N$34*1E+021</f>
        <v>6.8423878656E+025</v>
      </c>
      <c r="G36" s="59" t="s">
        <v>301</v>
      </c>
      <c r="H36" s="5" t="s">
        <v>2896</v>
      </c>
      <c r="I36" s="5" t="s">
        <v>2897</v>
      </c>
      <c r="J36" s="6" t="s">
        <v>2898</v>
      </c>
      <c r="K36" s="6" t="s">
        <v>2899</v>
      </c>
      <c r="L36" s="59" t="s">
        <v>2900</v>
      </c>
      <c r="M36" s="92" t="n">
        <f aca="false">SRC_MOD_055_Lo</f>
        <v>5E+026</v>
      </c>
      <c r="N36" s="92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9" t="s">
        <v>2893</v>
      </c>
      <c r="R36" s="59" t="s">
        <v>2901</v>
      </c>
      <c r="S36" s="5" t="s">
        <v>2902</v>
      </c>
    </row>
    <row r="37" customFormat="false" ht="69.4" hidden="false" customHeight="false" outlineLevel="0" collapsed="false">
      <c r="A37" s="59" t="s">
        <v>2903</v>
      </c>
      <c r="B37" s="5" t="s">
        <v>2904</v>
      </c>
      <c r="C37" s="6" t="s">
        <v>2905</v>
      </c>
      <c r="D37" s="123" t="n">
        <f aca="false">IF_AllocQ1</f>
        <v>0.331840968713343</v>
      </c>
      <c r="E37" s="113" t="n">
        <f aca="false">IF(ISNUMBER(IF_AllocQ1),MIN(AL_SensQ1),"—")</f>
        <v>0.198926458742601</v>
      </c>
      <c r="F37" s="113" t="n">
        <f aca="false">IF(ISNUMBER(IF_AllocQ1),MAX(AL_SensQ1),"—")</f>
        <v>0.776613574909666</v>
      </c>
      <c r="G37" s="59" t="s">
        <v>93</v>
      </c>
      <c r="H37" s="6" t="s">
        <v>2906</v>
      </c>
      <c r="I37" s="5" t="s">
        <v>2907</v>
      </c>
      <c r="J37" s="6" t="s">
        <v>2908</v>
      </c>
      <c r="K37" s="5" t="s">
        <v>2909</v>
      </c>
      <c r="L37" s="59" t="s">
        <v>608</v>
      </c>
      <c r="M37" s="113" t="s">
        <v>608</v>
      </c>
      <c r="N37" s="113" t="s">
        <v>608</v>
      </c>
      <c r="O37" s="74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9" t="s">
        <v>2903</v>
      </c>
      <c r="R37" s="59" t="s">
        <v>2910</v>
      </c>
      <c r="S37" s="6" t="s">
        <v>2911</v>
      </c>
    </row>
    <row r="38" customFormat="false" ht="58.2" hidden="false" customHeight="false" outlineLevel="0" collapsed="false">
      <c r="A38" s="59" t="s">
        <v>2912</v>
      </c>
      <c r="B38" s="5" t="s">
        <v>2913</v>
      </c>
      <c r="C38" s="6" t="s">
        <v>2914</v>
      </c>
      <c r="D38" s="123" t="n">
        <f aca="false">IF_AllocQ2</f>
        <v>0.393634855421224</v>
      </c>
      <c r="E38" s="113" t="n">
        <f aca="false">IF(ISNUMBER(IF_AllocQ2),MIN(AL_SensQ2),"—")</f>
        <v>0.245046935156479</v>
      </c>
      <c r="F38" s="113" t="n">
        <f aca="false">IF(ISNUMBER(IF_AllocQ2),MAX(AL_SensQ2),"—")</f>
        <v>0.819631299495304</v>
      </c>
      <c r="G38" s="59" t="s">
        <v>93</v>
      </c>
      <c r="H38" s="6" t="s">
        <v>2915</v>
      </c>
      <c r="I38" s="5" t="s">
        <v>2916</v>
      </c>
      <c r="J38" s="6" t="s">
        <v>2917</v>
      </c>
      <c r="K38" s="5" t="s">
        <v>2909</v>
      </c>
      <c r="L38" s="59" t="s">
        <v>608</v>
      </c>
      <c r="M38" s="113" t="s">
        <v>608</v>
      </c>
      <c r="N38" s="113" t="s">
        <v>608</v>
      </c>
      <c r="O38" s="74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9" t="s">
        <v>2912</v>
      </c>
      <c r="R38" s="59" t="s">
        <v>2910</v>
      </c>
      <c r="S38" s="5" t="s">
        <v>2918</v>
      </c>
    </row>
    <row r="39" customFormat="false" ht="129.1" hidden="false" customHeight="false" outlineLevel="0" collapsed="false">
      <c r="A39" s="59" t="s">
        <v>2919</v>
      </c>
      <c r="B39" s="5" t="s">
        <v>2920</v>
      </c>
      <c r="C39" s="6" t="s">
        <v>2921</v>
      </c>
      <c r="D39" s="123" t="n">
        <f aca="false">AL_RDCost</f>
        <v>1.10866321398852</v>
      </c>
      <c r="E39" s="113" t="n">
        <f aca="false">IF(ISNUMBER(AL_RDCost),MIN(AL_SensCost),"—")</f>
        <v>0.554331606994261</v>
      </c>
      <c r="F39" s="113" t="n">
        <f aca="false">IF(ISNUMBER(AL_RDCost),MAX(AL_SensCost),"—")</f>
        <v>7.76064249791965</v>
      </c>
      <c r="G39" s="59" t="s">
        <v>1796</v>
      </c>
      <c r="H39" s="6" t="s">
        <v>2922</v>
      </c>
      <c r="I39" s="6" t="s">
        <v>2923</v>
      </c>
      <c r="J39" s="6" t="s">
        <v>2924</v>
      </c>
      <c r="K39" s="5" t="s">
        <v>2925</v>
      </c>
      <c r="L39" s="59" t="s">
        <v>2926</v>
      </c>
      <c r="M39" s="92" t="n">
        <f aca="false">SRC_DEM_006</f>
        <v>12</v>
      </c>
      <c r="N39" s="92" t="n">
        <f aca="false">SRC_DEM_006</f>
        <v>12</v>
      </c>
      <c r="O39" s="74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9" t="s">
        <v>2919</v>
      </c>
      <c r="R39" s="59" t="s">
        <v>2927</v>
      </c>
      <c r="S39" s="5" t="s">
        <v>2928</v>
      </c>
    </row>
    <row r="40" customFormat="false" ht="83.55" hidden="false" customHeight="false" outlineLevel="0" collapsed="false">
      <c r="A40" s="59" t="s">
        <v>2929</v>
      </c>
      <c r="B40" s="5" t="s">
        <v>2930</v>
      </c>
      <c r="C40" s="6" t="s">
        <v>2931</v>
      </c>
      <c r="D40" s="123" t="n">
        <f aca="false">L1_CostDec_Sol_VR200</f>
        <v>0.329255999075451</v>
      </c>
      <c r="E40" s="113" t="n">
        <f aca="false">L1_CostDec_Sol_VR200_Lo</f>
        <v>0.256178955227036</v>
      </c>
      <c r="F40" s="113" t="n">
        <f aca="false">L1_CostDec_Sol_VR200_Hi</f>
        <v>0.531923262452556</v>
      </c>
      <c r="G40" s="59" t="s">
        <v>795</v>
      </c>
      <c r="H40" s="5" t="s">
        <v>2742</v>
      </c>
      <c r="I40" s="5" t="s">
        <v>2932</v>
      </c>
      <c r="J40" s="6" t="s">
        <v>2804</v>
      </c>
      <c r="K40" s="5" t="s">
        <v>2805</v>
      </c>
      <c r="L40" s="59" t="s">
        <v>608</v>
      </c>
      <c r="M40" s="113" t="s">
        <v>608</v>
      </c>
      <c r="N40" s="113" t="s">
        <v>608</v>
      </c>
      <c r="O40" s="74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9" t="s">
        <v>2929</v>
      </c>
      <c r="R40" s="59" t="s">
        <v>2933</v>
      </c>
      <c r="S40" s="6" t="s">
        <v>2934</v>
      </c>
    </row>
    <row r="41" customFormat="false" ht="72.35" hidden="false" customHeight="false" outlineLevel="0" collapsed="false">
      <c r="A41" s="59" t="s">
        <v>2935</v>
      </c>
      <c r="B41" s="5" t="s">
        <v>2936</v>
      </c>
      <c r="C41" s="6" t="s">
        <v>2937</v>
      </c>
      <c r="D41" s="123" t="n">
        <f aca="false">L1_RevGW_Sol_VR200</f>
        <v>228.808271164193</v>
      </c>
      <c r="E41" s="113" t="n">
        <f aca="false">L1_RevGW_Sol_VR200_Lo</f>
        <v>152.538847442795</v>
      </c>
      <c r="F41" s="113" t="n">
        <f aca="false">L1_RevGW_Sol_VR200_Hi</f>
        <v>305.07769488559</v>
      </c>
      <c r="G41" s="59" t="s">
        <v>1547</v>
      </c>
      <c r="H41" s="5" t="s">
        <v>2831</v>
      </c>
      <c r="I41" s="5" t="s">
        <v>2938</v>
      </c>
      <c r="J41" s="5" t="s">
        <v>2939</v>
      </c>
      <c r="K41" s="5" t="s">
        <v>2940</v>
      </c>
      <c r="L41" s="59" t="s">
        <v>608</v>
      </c>
      <c r="M41" s="113" t="s">
        <v>608</v>
      </c>
      <c r="N41" s="113" t="s">
        <v>608</v>
      </c>
      <c r="O41" s="74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9" t="s">
        <v>2935</v>
      </c>
      <c r="R41" s="59" t="s">
        <v>2941</v>
      </c>
      <c r="S41" s="6" t="s">
        <v>608</v>
      </c>
    </row>
    <row r="42" customFormat="false" ht="58.2" hidden="false" customHeight="false" outlineLevel="0" collapsed="false">
      <c r="A42" s="59" t="s">
        <v>2942</v>
      </c>
      <c r="B42" s="5" t="s">
        <v>2943</v>
      </c>
      <c r="C42" s="5" t="s">
        <v>2944</v>
      </c>
      <c r="D42" s="123" t="n">
        <f aca="false">INDEX(IF_PostShareFLOP_Sol,1,AL_TrainCol)</f>
        <v>0.127029214627552</v>
      </c>
      <c r="E42" s="113" t="n">
        <f aca="false">INDEX(IF_PostShareFLOP_Sol,1,AL_TrainCol)</f>
        <v>0.127029214627552</v>
      </c>
      <c r="F42" s="113" t="n">
        <f aca="false">INDEX(IF_PostShareFLOP_Sol,1,AL_TrainCol)</f>
        <v>0.127029214627552</v>
      </c>
      <c r="G42" s="59" t="s">
        <v>93</v>
      </c>
      <c r="H42" s="5" t="s">
        <v>2945</v>
      </c>
      <c r="I42" s="6" t="s">
        <v>2946</v>
      </c>
      <c r="J42" s="6" t="s">
        <v>2947</v>
      </c>
      <c r="K42" s="6" t="s">
        <v>2863</v>
      </c>
      <c r="L42" s="59" t="s">
        <v>608</v>
      </c>
      <c r="M42" s="113" t="s">
        <v>608</v>
      </c>
      <c r="N42" s="113" t="s">
        <v>608</v>
      </c>
      <c r="O42" s="74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9" t="s">
        <v>2942</v>
      </c>
      <c r="R42" s="59" t="s">
        <v>2948</v>
      </c>
      <c r="S42" s="5" t="s">
        <v>2949</v>
      </c>
    </row>
    <row r="43" customFormat="false" ht="114.9" hidden="false" customHeight="false" outlineLevel="0" collapsed="false">
      <c r="A43" s="59" t="s">
        <v>2950</v>
      </c>
      <c r="B43" s="5" t="s">
        <v>2951</v>
      </c>
      <c r="C43" s="6" t="s">
        <v>2952</v>
      </c>
      <c r="D43" s="123" t="n">
        <f aca="false">IF(AND(ISNUMBER(IF_PriceRef_Sol),ISNUMBER(IF_FrontRef_Sol)),IF_PriceRef_Sol/IF_FrontRef_Sol,"—")</f>
        <v>1</v>
      </c>
      <c r="E43" s="113" t="n">
        <f aca="false">IF(AND(ISNUMBER(IF_PriceRef_Sol),ISNUMBER(IF_FrontRef_Sol)),IF_PriceRef_Sol/IF_FrontRef_Sol,"—")</f>
        <v>1</v>
      </c>
      <c r="F43" s="113" t="n">
        <f aca="false">IF(AND(ISNUMBER(IF_PriceRef_Sol),ISNUMBER(IF_FrontRef_Sol)),IF_PriceRef_Sol/IF_FrontRef_Sol,"—")</f>
        <v>1</v>
      </c>
      <c r="G43" s="59" t="s">
        <v>97</v>
      </c>
      <c r="H43" s="5" t="s">
        <v>2945</v>
      </c>
      <c r="I43" s="5" t="s">
        <v>2953</v>
      </c>
      <c r="J43" s="5" t="s">
        <v>2954</v>
      </c>
      <c r="K43" s="6" t="s">
        <v>2955</v>
      </c>
      <c r="L43" s="59" t="s">
        <v>608</v>
      </c>
      <c r="M43" s="113" t="s">
        <v>608</v>
      </c>
      <c r="N43" s="113" t="s">
        <v>608</v>
      </c>
      <c r="O43" s="74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9" t="s">
        <v>2950</v>
      </c>
      <c r="R43" s="59" t="s">
        <v>2835</v>
      </c>
      <c r="S43" s="5" t="s">
        <v>2949</v>
      </c>
    </row>
    <row r="44" customFormat="false" ht="44" hidden="false" customHeight="false" outlineLevel="0" collapsed="false">
      <c r="A44" s="59" t="s">
        <v>2956</v>
      </c>
      <c r="B44" s="5" t="s">
        <v>2957</v>
      </c>
      <c r="C44" s="6" t="s">
        <v>2958</v>
      </c>
      <c r="D44" s="123" t="n">
        <f aca="false">INDEX(IF_HarR_Sol,1,5)</f>
        <v>0.4793958062764</v>
      </c>
      <c r="E44" s="113" t="n">
        <f aca="false">INDEX(IF_HarR_Sol,1,5)</f>
        <v>0.4793958062764</v>
      </c>
      <c r="F44" s="113" t="n">
        <f aca="false">INDEX(IF_HarR_Sol,1,5)</f>
        <v>0.4793958062764</v>
      </c>
      <c r="G44" s="59" t="s">
        <v>97</v>
      </c>
      <c r="H44" s="5" t="s">
        <v>2945</v>
      </c>
      <c r="I44" s="6" t="s">
        <v>2959</v>
      </c>
      <c r="J44" s="5" t="s">
        <v>2960</v>
      </c>
      <c r="K44" s="6" t="s">
        <v>2961</v>
      </c>
      <c r="L44" s="59" t="s">
        <v>608</v>
      </c>
      <c r="M44" s="113" t="s">
        <v>608</v>
      </c>
      <c r="N44" s="113" t="s">
        <v>608</v>
      </c>
      <c r="O44" s="74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9" t="s">
        <v>2956</v>
      </c>
      <c r="R44" s="59" t="s">
        <v>2962</v>
      </c>
      <c r="S44" s="6" t="s">
        <v>608</v>
      </c>
    </row>
    <row r="45" customFormat="false" ht="58.2" hidden="false" customHeight="false" outlineLevel="0" collapsed="false">
      <c r="A45" s="59" t="s">
        <v>2963</v>
      </c>
      <c r="B45" s="5" t="s">
        <v>2964</v>
      </c>
      <c r="C45" s="6" t="s">
        <v>2965</v>
      </c>
      <c r="D45" s="123" t="n">
        <f aca="false">INDEX(IF_FrontSuccVR,1,5)</f>
        <v>0.0212952098427094</v>
      </c>
      <c r="E45" s="113" t="n">
        <f aca="false">INDEX(IF_FrontSuccVR,1,5)</f>
        <v>0.0212952098427094</v>
      </c>
      <c r="F45" s="113" t="n">
        <f aca="false">INDEX(IF_FrontSuccVR,1,5)</f>
        <v>0.0212952098427094</v>
      </c>
      <c r="G45" s="59" t="s">
        <v>423</v>
      </c>
      <c r="H45" s="5" t="s">
        <v>2966</v>
      </c>
      <c r="I45" s="5" t="s">
        <v>2967</v>
      </c>
      <c r="J45" s="6" t="s">
        <v>2968</v>
      </c>
      <c r="K45" s="6" t="s">
        <v>2969</v>
      </c>
      <c r="L45" s="59" t="s">
        <v>608</v>
      </c>
      <c r="M45" s="113" t="s">
        <v>608</v>
      </c>
      <c r="N45" s="113" t="s">
        <v>608</v>
      </c>
      <c r="O45" s="74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9" t="s">
        <v>2963</v>
      </c>
      <c r="R45" s="59" t="s">
        <v>2962</v>
      </c>
      <c r="S45" s="5" t="s">
        <v>2970</v>
      </c>
    </row>
    <row r="46" customFormat="false" ht="58.2" hidden="false" customHeight="false" outlineLevel="0" collapsed="false">
      <c r="A46" s="59" t="s">
        <v>2971</v>
      </c>
      <c r="B46" s="5" t="s">
        <v>2972</v>
      </c>
      <c r="C46" s="6" t="s">
        <v>2973</v>
      </c>
      <c r="D46" s="123" t="n">
        <f aca="false">IF_AllocServeGW</f>
        <v>0.182592896594975</v>
      </c>
      <c r="E46" s="113" t="n">
        <f aca="false">IF_AllocServeGW</f>
        <v>0.182592896594975</v>
      </c>
      <c r="F46" s="113" t="n">
        <f aca="false">IF_AllocServeGW</f>
        <v>0.182592896594975</v>
      </c>
      <c r="G46" s="59" t="s">
        <v>85</v>
      </c>
      <c r="H46" s="5" t="s">
        <v>2974</v>
      </c>
      <c r="I46" s="5" t="s">
        <v>2975</v>
      </c>
      <c r="J46" s="5" t="s">
        <v>2976</v>
      </c>
      <c r="K46" s="5" t="s">
        <v>2909</v>
      </c>
      <c r="L46" s="59" t="s">
        <v>2977</v>
      </c>
      <c r="M46" s="92" t="n">
        <f aca="false">AL_ServeGWSpend</f>
        <v>0.89809617101894</v>
      </c>
      <c r="N46" s="92" t="n">
        <f aca="false">AL_ServeGWSpend</f>
        <v>0.89809617101894</v>
      </c>
      <c r="O46" s="74" t="n">
        <f aca="false">IF(AND(ISNUMBER(D46),ISNUMBER(M46),ISNUMBER(N46)),D46/((M46+N46)/2),"—")</f>
        <v>0.203311073454208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9" t="s">
        <v>2971</v>
      </c>
      <c r="R46" s="59" t="s">
        <v>2978</v>
      </c>
      <c r="S46" s="5" t="s">
        <v>2979</v>
      </c>
    </row>
    <row r="47" customFormat="false" ht="44" hidden="false" customHeight="false" outlineLevel="0" collapsed="false">
      <c r="A47" s="59" t="s">
        <v>2980</v>
      </c>
      <c r="B47" s="5" t="s">
        <v>2981</v>
      </c>
      <c r="C47" s="6" t="s">
        <v>2982</v>
      </c>
      <c r="D47" s="123" t="n">
        <f aca="false">AL_FreeServeShare</f>
        <v>0.131656253388537</v>
      </c>
      <c r="E47" s="113" t="n">
        <f aca="false">AL_FreeServeShare</f>
        <v>0.131656253388537</v>
      </c>
      <c r="F47" s="113" t="n">
        <f aca="false">AL_FreeServeShare</f>
        <v>0.131656253388537</v>
      </c>
      <c r="G47" s="59" t="s">
        <v>93</v>
      </c>
      <c r="H47" s="5" t="s">
        <v>2974</v>
      </c>
      <c r="I47" s="6" t="s">
        <v>2983</v>
      </c>
      <c r="J47" s="5" t="s">
        <v>2984</v>
      </c>
      <c r="K47" s="5" t="s">
        <v>2985</v>
      </c>
      <c r="L47" s="59" t="s">
        <v>2986</v>
      </c>
      <c r="M47" s="92" t="n">
        <f aca="false">SRC_DEM_005/SRC_DEM_004</f>
        <v>0.464285714285714</v>
      </c>
      <c r="N47" s="92" t="n">
        <f aca="false">SRC_DEM_005/SRC_DEM_004</f>
        <v>0.464285714285714</v>
      </c>
      <c r="O47" s="74" t="n">
        <f aca="false">IF(AND(ISNUMBER(D47),ISNUMBER(M47),ISNUMBER(N47)),D47/((M47+N47)/2),"—")</f>
        <v>0.283567314990695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9" t="s">
        <v>2980</v>
      </c>
      <c r="R47" s="59" t="s">
        <v>2978</v>
      </c>
      <c r="S47" s="5" t="s">
        <v>2987</v>
      </c>
    </row>
    <row r="48" customFormat="false" ht="58.2" hidden="false" customHeight="false" outlineLevel="0" collapsed="false">
      <c r="A48" s="59" t="s">
        <v>2988</v>
      </c>
      <c r="B48" s="5" t="s">
        <v>2989</v>
      </c>
      <c r="C48" s="6" t="s">
        <v>2990</v>
      </c>
      <c r="D48" s="123" t="n">
        <f aca="false">AL_DDaily</f>
        <v>16.48</v>
      </c>
      <c r="E48" s="113" t="n">
        <f aca="false">AL_DDaily</f>
        <v>16.48</v>
      </c>
      <c r="F48" s="113" t="n">
        <f aca="false">AL_DDaily</f>
        <v>16.48</v>
      </c>
      <c r="G48" s="59" t="s">
        <v>1296</v>
      </c>
      <c r="H48" s="5" t="s">
        <v>2974</v>
      </c>
      <c r="I48" s="5" t="s">
        <v>2991</v>
      </c>
      <c r="J48" s="5" t="s">
        <v>2992</v>
      </c>
      <c r="K48" s="5" t="s">
        <v>2909</v>
      </c>
      <c r="L48" s="59" t="s">
        <v>2993</v>
      </c>
      <c r="M48" s="92" t="n">
        <f aca="false">SRC_DEM_013_Lo</f>
        <v>10</v>
      </c>
      <c r="N48" s="92" t="n">
        <f aca="false">SRC_DEM_013_Hi</f>
        <v>100</v>
      </c>
      <c r="O48" s="74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9" t="s">
        <v>2988</v>
      </c>
      <c r="R48" s="59" t="s">
        <v>2994</v>
      </c>
      <c r="S48" s="6" t="s">
        <v>2995</v>
      </c>
    </row>
    <row r="49" customFormat="false" ht="143.25" hidden="false" customHeight="false" outlineLevel="0" collapsed="false">
      <c r="A49" s="59" t="s">
        <v>2996</v>
      </c>
      <c r="B49" s="5" t="s">
        <v>2997</v>
      </c>
      <c r="C49" s="6" t="s">
        <v>2998</v>
      </c>
      <c r="D49" s="123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3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3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59" t="s">
        <v>93</v>
      </c>
      <c r="H49" s="5" t="s">
        <v>2999</v>
      </c>
      <c r="I49" s="6" t="s">
        <v>3000</v>
      </c>
      <c r="J49" s="5" t="s">
        <v>3001</v>
      </c>
      <c r="K49" s="5" t="s">
        <v>2940</v>
      </c>
      <c r="L49" s="59" t="s">
        <v>3002</v>
      </c>
      <c r="M49" s="92" t="n">
        <f aca="false">1-SRC_DEM_004/SRC_DEM_007</f>
        <v>0.357306809487376</v>
      </c>
      <c r="N49" s="92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9" t="s">
        <v>2996</v>
      </c>
      <c r="R49" s="59" t="s">
        <v>3003</v>
      </c>
      <c r="S49" s="5" t="s">
        <v>3004</v>
      </c>
    </row>
    <row r="50" customFormat="false" ht="69.4" hidden="false" customHeight="false" outlineLevel="0" collapsed="false">
      <c r="A50" s="59" t="s">
        <v>3005</v>
      </c>
      <c r="B50" s="5" t="s">
        <v>3006</v>
      </c>
      <c r="C50" s="6" t="s">
        <v>2998</v>
      </c>
      <c r="D50" s="123" t="n">
        <f aca="false">IF(AND(ISNUMBER(IF_PriceRef_Sol),ISNUMBER(INDEX(IF_FullCostDefault_Sol,1,11))),1-INDEX(IF_FullCostDefault_Sol,1,11)/IF_PriceRef_Sol,"—")</f>
        <v>0.919326156933809</v>
      </c>
      <c r="E50" s="113" t="n">
        <f aca="false">IF(AND(ISNUMBER(IF_PriceRef_Sol),ISNUMBER(INDEX(IF_FullCostDefault_Sol,1,12))),1-INDEX(IF_FullCostDefault_Sol,1,12)/IF_PriceRef_Sol,"—")</f>
        <v>0.86968458109121</v>
      </c>
      <c r="F50" s="113" t="n">
        <f aca="false">IF(AND(ISNUMBER(IF_PriceRef_Sol),ISNUMBER(INDEX(IF_FullCostDefault_Sol,1,10))),1-INDEX(IF_FullCostDefault_Sol,1,10)/IF_PriceRef_Sol,"—")</f>
        <v>0.937225740488179</v>
      </c>
      <c r="G50" s="59" t="s">
        <v>93</v>
      </c>
      <c r="H50" s="5" t="s">
        <v>2999</v>
      </c>
      <c r="I50" s="6" t="s">
        <v>3007</v>
      </c>
      <c r="J50" s="5" t="s">
        <v>3008</v>
      </c>
      <c r="K50" s="5" t="s">
        <v>2940</v>
      </c>
      <c r="L50" s="59" t="s">
        <v>608</v>
      </c>
      <c r="M50" s="113" t="s">
        <v>608</v>
      </c>
      <c r="N50" s="113" t="s">
        <v>608</v>
      </c>
      <c r="O50" s="74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9" t="s">
        <v>3005</v>
      </c>
      <c r="R50" s="59" t="s">
        <v>3009</v>
      </c>
      <c r="S50" s="6" t="s">
        <v>608</v>
      </c>
    </row>
    <row r="51" customFormat="false" ht="44" hidden="false" customHeight="false" outlineLevel="0" collapsed="false">
      <c r="A51" s="59" t="s">
        <v>3010</v>
      </c>
      <c r="B51" s="5" t="s">
        <v>3011</v>
      </c>
      <c r="C51" s="5" t="s">
        <v>2944</v>
      </c>
      <c r="D51" s="123" t="n">
        <f aca="false">INDEX(IF_PostShareGPUh_Sol,1,AL_TrainCol)</f>
        <v>0.282310936548276</v>
      </c>
      <c r="E51" s="113" t="n">
        <f aca="false">INDEX(IF_PostShareGPUh_Sol,1,AL_TrainCol)</f>
        <v>0.282310936548276</v>
      </c>
      <c r="F51" s="113" t="n">
        <f aca="false">INDEX(IF_PostShareGPUh_Sol,1,AL_TrainCol)</f>
        <v>0.282310936548276</v>
      </c>
      <c r="G51" s="59" t="s">
        <v>93</v>
      </c>
      <c r="H51" s="5" t="s">
        <v>2945</v>
      </c>
      <c r="I51" s="6" t="s">
        <v>3012</v>
      </c>
      <c r="J51" s="6" t="s">
        <v>2947</v>
      </c>
      <c r="K51" s="6" t="s">
        <v>2863</v>
      </c>
      <c r="L51" s="59" t="s">
        <v>608</v>
      </c>
      <c r="M51" s="113" t="s">
        <v>608</v>
      </c>
      <c r="N51" s="113" t="s">
        <v>608</v>
      </c>
      <c r="O51" s="74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9" t="s">
        <v>3010</v>
      </c>
      <c r="R51" s="59" t="s">
        <v>2948</v>
      </c>
      <c r="S51" s="6" t="s">
        <v>608</v>
      </c>
    </row>
    <row r="52" customFormat="false" ht="58.2" hidden="false" customHeight="false" outlineLevel="0" collapsed="false">
      <c r="A52" s="59" t="s">
        <v>3013</v>
      </c>
      <c r="B52" s="5" t="s">
        <v>3014</v>
      </c>
      <c r="C52" s="6" t="s">
        <v>3015</v>
      </c>
      <c r="D52" s="123" t="n">
        <f aca="false">IF(ISNUMBER(INDEX(IF_RevGWFleet,1,11)),INDEX(IF_HoldEcon,1,11)/(INDEX(IF_RevGWFleet,1,11)/IF_Util),"SLO 不可達")</f>
        <v>0.150548548387624</v>
      </c>
      <c r="E52" s="113" t="n">
        <f aca="false">IF(ISNUMBER(INDEX(IF_RevGWFleet,1,10)),INDEX(IF_HoldEcon,1,10)/(INDEX(IF_RevGWFleet,1,10)/IF_Util),"SLO 不可達")</f>
        <v>0.117134903981053</v>
      </c>
      <c r="F52" s="113" t="n">
        <f aca="false">IF(ISNUMBER(INDEX(IF_RevGWFleet,1,12)),INDEX(IF_HoldEcon,1,12)/(INDEX(IF_RevGWFleet,1,12)/IF_Util),"SLO 不可達")</f>
        <v>0.243215841900243</v>
      </c>
      <c r="G52" s="59" t="s">
        <v>97</v>
      </c>
      <c r="H52" s="5" t="s">
        <v>2742</v>
      </c>
      <c r="I52" s="6" t="s">
        <v>3016</v>
      </c>
      <c r="J52" s="5" t="s">
        <v>3017</v>
      </c>
      <c r="K52" s="5" t="s">
        <v>3018</v>
      </c>
      <c r="L52" s="59" t="s">
        <v>608</v>
      </c>
      <c r="M52" s="113" t="s">
        <v>608</v>
      </c>
      <c r="N52" s="113" t="s">
        <v>608</v>
      </c>
      <c r="O52" s="74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9" t="s">
        <v>3013</v>
      </c>
      <c r="R52" s="59" t="s">
        <v>3019</v>
      </c>
      <c r="S52" s="6" t="s">
        <v>608</v>
      </c>
    </row>
    <row r="53" customFormat="false" ht="140.25" hidden="false" customHeight="false" outlineLevel="0" collapsed="false">
      <c r="A53" s="59" t="s">
        <v>3020</v>
      </c>
      <c r="B53" s="5" t="s">
        <v>3021</v>
      </c>
      <c r="C53" s="6" t="s">
        <v>3022</v>
      </c>
      <c r="D53" s="123" t="n">
        <f aca="false">IF(ISNUMBER(L1_FleetBreakeven),IF_Util*CTL_ProdDerate*CTL_PriceLife*CTL_Monetize/L1_FleetBreakeven,"SLO 不可達")</f>
        <v>3.38761154100855</v>
      </c>
      <c r="E53" s="113" t="n">
        <f aca="false">IF(ISNUMBER(L1_FleetBreakeven_Hi),IF_Util*CTL_ProdDerate*CTL_PriceLife*CTL_Monetize/L1_FleetBreakeven_Hi,"SLO 不可達")</f>
        <v>2.09690288270441</v>
      </c>
      <c r="F53" s="113" t="n">
        <f aca="false">IF(ISNUMBER(L1_FleetBreakeven_Lo),IF_Util*CTL_ProdDerate*CTL_PriceLife*CTL_Monetize/L1_FleetBreakeven_Lo,"SLO 不可達")</f>
        <v>4.35395413891743</v>
      </c>
      <c r="G53" s="59" t="s">
        <v>97</v>
      </c>
      <c r="H53" s="5" t="s">
        <v>3023</v>
      </c>
      <c r="I53" s="5" t="s">
        <v>3024</v>
      </c>
      <c r="J53" s="5" t="s">
        <v>3025</v>
      </c>
      <c r="K53" s="5" t="s">
        <v>3026</v>
      </c>
      <c r="L53" s="59" t="s">
        <v>608</v>
      </c>
      <c r="M53" s="113" t="s">
        <v>608</v>
      </c>
      <c r="N53" s="113" t="s">
        <v>608</v>
      </c>
      <c r="O53" s="74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9" t="s">
        <v>3020</v>
      </c>
      <c r="R53" s="59" t="s">
        <v>3027</v>
      </c>
      <c r="S53" s="5" t="s">
        <v>3028</v>
      </c>
    </row>
    <row r="54" customFormat="false" ht="44" hidden="false" customHeight="false" outlineLevel="0" collapsed="false">
      <c r="A54" s="59" t="s">
        <v>3029</v>
      </c>
      <c r="B54" s="5" t="s">
        <v>3030</v>
      </c>
      <c r="C54" s="5" t="s">
        <v>3031</v>
      </c>
      <c r="D54" s="123" t="n">
        <f aca="false">L1_HoldEconGW_Hopper</f>
        <v>9.70308728611469</v>
      </c>
      <c r="E54" s="113" t="n">
        <f aca="false">L1_HoldEconGW_Hopper_Lo</f>
        <v>6.79107465326444</v>
      </c>
      <c r="F54" s="113" t="n">
        <f aca="false">L1_HoldEconGW_Hopper_Hi</f>
        <v>16.6637697337026</v>
      </c>
      <c r="G54" s="59" t="s">
        <v>3032</v>
      </c>
      <c r="H54" s="5" t="s">
        <v>2742</v>
      </c>
      <c r="I54" s="5" t="s">
        <v>3033</v>
      </c>
      <c r="J54" s="6" t="s">
        <v>3034</v>
      </c>
      <c r="K54" s="5" t="s">
        <v>2777</v>
      </c>
      <c r="L54" s="59" t="s">
        <v>608</v>
      </c>
      <c r="M54" s="113" t="s">
        <v>608</v>
      </c>
      <c r="N54" s="113" t="s">
        <v>608</v>
      </c>
      <c r="O54" s="74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9" t="s">
        <v>3029</v>
      </c>
      <c r="R54" s="59" t="s">
        <v>3035</v>
      </c>
      <c r="S54" s="6" t="s">
        <v>608</v>
      </c>
    </row>
    <row r="55" customFormat="false" ht="44" hidden="false" customHeight="false" outlineLevel="0" collapsed="false">
      <c r="A55" s="59" t="s">
        <v>3036</v>
      </c>
      <c r="B55" s="5" t="s">
        <v>3037</v>
      </c>
      <c r="C55" s="5" t="s">
        <v>3031</v>
      </c>
      <c r="D55" s="123" t="n">
        <f aca="false">L1_HoldEconGW_GB200</f>
        <v>8.82816556596761</v>
      </c>
      <c r="E55" s="113" t="n">
        <f aca="false">L1_HoldEconGW_GB200_Lo</f>
        <v>6.6118162762144</v>
      </c>
      <c r="F55" s="113" t="n">
        <f aca="false">L1_HoldEconGW_GB200_Hi</f>
        <v>14.3185748619737</v>
      </c>
      <c r="G55" s="59" t="s">
        <v>3032</v>
      </c>
      <c r="H55" s="5" t="s">
        <v>2742</v>
      </c>
      <c r="I55" s="5" t="s">
        <v>3033</v>
      </c>
      <c r="J55" s="6" t="s">
        <v>3034</v>
      </c>
      <c r="K55" s="5" t="s">
        <v>2777</v>
      </c>
      <c r="L55" s="59" t="s">
        <v>608</v>
      </c>
      <c r="M55" s="113" t="s">
        <v>608</v>
      </c>
      <c r="N55" s="113" t="s">
        <v>608</v>
      </c>
      <c r="O55" s="74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9" t="s">
        <v>3036</v>
      </c>
      <c r="R55" s="59" t="s">
        <v>3035</v>
      </c>
      <c r="S55" s="6" t="s">
        <v>608</v>
      </c>
    </row>
    <row r="56" customFormat="false" ht="100.7" hidden="false" customHeight="false" outlineLevel="0" collapsed="false">
      <c r="A56" s="59" t="s">
        <v>3038</v>
      </c>
      <c r="B56" s="5" t="s">
        <v>3039</v>
      </c>
      <c r="C56" s="5" t="s">
        <v>3031</v>
      </c>
      <c r="D56" s="123" t="n">
        <f aca="false">L1_HoldEconGW_GB300</f>
        <v>10.8864110021101</v>
      </c>
      <c r="E56" s="113" t="n">
        <f aca="false">L1_HoldEconGW_GB300_Lo</f>
        <v>8.42889912085495</v>
      </c>
      <c r="F56" s="113" t="n">
        <f aca="false">L1_HoldEconGW_GB300_Hi</f>
        <v>18.5346455040469</v>
      </c>
      <c r="G56" s="59" t="s">
        <v>3032</v>
      </c>
      <c r="H56" s="5" t="s">
        <v>2742</v>
      </c>
      <c r="I56" s="5" t="s">
        <v>3040</v>
      </c>
      <c r="J56" s="6" t="s">
        <v>3034</v>
      </c>
      <c r="K56" s="5" t="s">
        <v>2777</v>
      </c>
      <c r="L56" s="59" t="s">
        <v>608</v>
      </c>
      <c r="M56" s="113" t="s">
        <v>608</v>
      </c>
      <c r="N56" s="113" t="s">
        <v>608</v>
      </c>
      <c r="O56" s="74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9" t="s">
        <v>3038</v>
      </c>
      <c r="R56" s="59" t="s">
        <v>3035</v>
      </c>
      <c r="S56" s="5" t="s">
        <v>3041</v>
      </c>
    </row>
    <row r="57" customFormat="false" ht="44" hidden="false" customHeight="false" outlineLevel="0" collapsed="false">
      <c r="A57" s="59" t="s">
        <v>3042</v>
      </c>
      <c r="B57" s="5" t="s">
        <v>3043</v>
      </c>
      <c r="C57" s="5" t="s">
        <v>3031</v>
      </c>
      <c r="D57" s="123" t="n">
        <f aca="false">L1_HoldEconGW_VR200</f>
        <v>12.2254710045841</v>
      </c>
      <c r="E57" s="113" t="n">
        <f aca="false">L1_HoldEconGW_VR200_Lo</f>
        <v>9.51207691858967</v>
      </c>
      <c r="F57" s="113" t="n">
        <f aca="false">L1_HoldEconGW_VR200_Hi</f>
        <v>19.7506269894487</v>
      </c>
      <c r="G57" s="59" t="s">
        <v>3032</v>
      </c>
      <c r="H57" s="5" t="s">
        <v>2742</v>
      </c>
      <c r="I57" s="5" t="s">
        <v>3033</v>
      </c>
      <c r="J57" s="6" t="s">
        <v>3034</v>
      </c>
      <c r="K57" s="5" t="s">
        <v>2777</v>
      </c>
      <c r="L57" s="59" t="s">
        <v>608</v>
      </c>
      <c r="M57" s="113" t="s">
        <v>608</v>
      </c>
      <c r="N57" s="113" t="s">
        <v>608</v>
      </c>
      <c r="O57" s="74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9" t="s">
        <v>3042</v>
      </c>
      <c r="R57" s="59" t="s">
        <v>3035</v>
      </c>
      <c r="S57" s="6" t="s">
        <v>608</v>
      </c>
    </row>
    <row r="58" customFormat="false" ht="44" hidden="false" customHeight="false" outlineLevel="0" collapsed="false">
      <c r="A58" s="59" t="s">
        <v>3044</v>
      </c>
      <c r="B58" s="5" t="s">
        <v>3045</v>
      </c>
      <c r="C58" s="5" t="s">
        <v>3046</v>
      </c>
      <c r="D58" s="123" t="n">
        <f aca="false">IF(ISNUMBER(INDEX(IF_TokGW_Sol,1,2)),IF(INDEX(IF_TokGW_Sol,1,2)&gt;0,INDEX(IF_TokGW_Sol,1,5)/INDEX(IF_TokGW_Sol,1,2),"SLO 不可達"),"SLO 不可達")</f>
        <v>4.84519865841925</v>
      </c>
      <c r="E58" s="113" t="n">
        <f aca="false">IF(ISNUMBER(INDEX(IF_TokGW_Sol,1,2)),IF(INDEX(IF_TokGW_Sol,1,2)&gt;0,INDEX(IF_TokGW_Sol,1,5)/INDEX(IF_TokGW_Sol,1,2),"SLO 不可達"),"SLO 不可達")</f>
        <v>4.84519865841925</v>
      </c>
      <c r="F58" s="113" t="n">
        <f aca="false">IF(ISNUMBER(INDEX(IF_TokGW_Sol,1,2)),IF(INDEX(IF_TokGW_Sol,1,2)&gt;0,INDEX(IF_TokGW_Sol,1,5)/INDEX(IF_TokGW_Sol,1,2),"SLO 不可達"),"SLO 不可達")</f>
        <v>4.84519865841925</v>
      </c>
      <c r="G58" s="59" t="s">
        <v>97</v>
      </c>
      <c r="H58" s="5" t="s">
        <v>3047</v>
      </c>
      <c r="I58" s="5" t="s">
        <v>3048</v>
      </c>
      <c r="J58" s="6" t="s">
        <v>3049</v>
      </c>
      <c r="K58" s="6" t="s">
        <v>3050</v>
      </c>
      <c r="L58" s="59" t="s">
        <v>608</v>
      </c>
      <c r="M58" s="113" t="s">
        <v>608</v>
      </c>
      <c r="N58" s="113" t="s">
        <v>608</v>
      </c>
      <c r="O58" s="74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9" t="s">
        <v>3044</v>
      </c>
      <c r="R58" s="59" t="s">
        <v>3051</v>
      </c>
      <c r="S58" s="6" t="s">
        <v>3052</v>
      </c>
    </row>
    <row r="59" customFormat="false" ht="72.35" hidden="false" customHeight="false" outlineLevel="0" collapsed="false">
      <c r="A59" s="59" t="s">
        <v>3053</v>
      </c>
      <c r="B59" s="5" t="s">
        <v>3054</v>
      </c>
      <c r="C59" s="5" t="s">
        <v>3046</v>
      </c>
      <c r="D59" s="123" t="n">
        <f aca="false">IF(ISNUMBER(INDEX(IF_TokGW_Sol,1,5)),IF(INDEX(IF_TokGW_Sol,1,5)&gt;0,INDEX(IF_TokGW_Sol,1,8)/INDEX(IF_TokGW_Sol,1,5),"SLO 不可達"),"SLO 不可達")</f>
        <v>1.45587602238485</v>
      </c>
      <c r="E59" s="113" t="n">
        <f aca="false">IF(ISNUMBER(INDEX(IF_TokGW_Sol,1,5)),IF(INDEX(IF_TokGW_Sol,1,5)&gt;0,INDEX(IF_TokGW_Sol,1,8)/INDEX(IF_TokGW_Sol,1,5),"SLO 不可達"),"SLO 不可達")</f>
        <v>1.45587602238485</v>
      </c>
      <c r="F59" s="113" t="n">
        <f aca="false">IF(ISNUMBER(INDEX(IF_TokGW_Sol,1,5)),IF(INDEX(IF_TokGW_Sol,1,5)&gt;0,INDEX(IF_TokGW_Sol,1,8)/INDEX(IF_TokGW_Sol,1,5),"SLO 不可達"),"SLO 不可達")</f>
        <v>1.45587602238485</v>
      </c>
      <c r="G59" s="59" t="s">
        <v>97</v>
      </c>
      <c r="H59" s="5" t="s">
        <v>3047</v>
      </c>
      <c r="I59" s="5" t="s">
        <v>3048</v>
      </c>
      <c r="J59" s="6" t="s">
        <v>3049</v>
      </c>
      <c r="K59" s="6" t="s">
        <v>3050</v>
      </c>
      <c r="L59" s="59" t="s">
        <v>3055</v>
      </c>
      <c r="M59" s="92" t="n">
        <f aca="false">SRC_PERF_024/SRC_PERF_025</f>
        <v>1.04292645577943</v>
      </c>
      <c r="N59" s="92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9" t="s">
        <v>3053</v>
      </c>
      <c r="R59" s="59" t="s">
        <v>3051</v>
      </c>
      <c r="S59" s="5" t="s">
        <v>3056</v>
      </c>
    </row>
    <row r="60" customFormat="false" ht="72.35" hidden="false" customHeight="false" outlineLevel="0" collapsed="false">
      <c r="A60" s="59" t="s">
        <v>3057</v>
      </c>
      <c r="B60" s="5" t="s">
        <v>3058</v>
      </c>
      <c r="C60" s="5" t="s">
        <v>3046</v>
      </c>
      <c r="D60" s="123" t="n">
        <f aca="false">IF(ISNUMBER(INDEX(IF_TokGW_Sol,1,8)),IF(INDEX(IF_TokGW_Sol,1,8)&gt;0,INDEX(IF_TokGW_Sol,1,11)/INDEX(IF_TokGW_Sol,1,8),"SLO 不可達"),"SLO 不可達")</f>
        <v>1.56528522129431</v>
      </c>
      <c r="E60" s="92" t="n">
        <f aca="false">IF(ISNUMBER(Sens_Perf!$F$98),IF(Sens_Perf!$F$98&gt;0,Sens_Perf!$E$98/Sens_Perf!$F$98,"SLO 不可達"),"SLO 不可達")</f>
        <v>0.915334889924169</v>
      </c>
      <c r="F60" s="92" t="n">
        <f aca="false">IF(ISNUMBER(Sens_Perf!$H$98),IF(Sens_Perf!$H$98&gt;0,Sens_Perf!$G$98/Sens_Perf!$H$98,"SLO 不可達"),"SLO 不可達")</f>
        <v>2.0506531956019</v>
      </c>
      <c r="G60" s="59" t="s">
        <v>97</v>
      </c>
      <c r="H60" s="6" t="s">
        <v>3059</v>
      </c>
      <c r="I60" s="5" t="s">
        <v>3048</v>
      </c>
      <c r="J60" s="6" t="s">
        <v>3049</v>
      </c>
      <c r="K60" s="6" t="s">
        <v>3050</v>
      </c>
      <c r="L60" s="59" t="s">
        <v>3060</v>
      </c>
      <c r="M60" s="92" t="n">
        <f aca="false">SRC_PERF_027/SRC_PERF_028</f>
        <v>2.5748897461993</v>
      </c>
      <c r="N60" s="92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9" t="s">
        <v>3057</v>
      </c>
      <c r="R60" s="59" t="s">
        <v>3051</v>
      </c>
      <c r="S60" s="5" t="s">
        <v>3056</v>
      </c>
    </row>
    <row r="61" customFormat="false" ht="44" hidden="false" customHeight="false" outlineLevel="0" collapsed="false">
      <c r="A61" s="59" t="s">
        <v>3061</v>
      </c>
      <c r="B61" s="6" t="s">
        <v>3062</v>
      </c>
      <c r="C61" s="6" t="s">
        <v>3063</v>
      </c>
      <c r="D61" s="12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59" t="s">
        <v>97</v>
      </c>
      <c r="H61" s="5" t="s">
        <v>3064</v>
      </c>
      <c r="I61" s="6" t="s">
        <v>3065</v>
      </c>
      <c r="J61" s="6" t="s">
        <v>3066</v>
      </c>
      <c r="K61" s="6" t="s">
        <v>2961</v>
      </c>
      <c r="L61" s="59" t="s">
        <v>3067</v>
      </c>
      <c r="M61" s="92" t="n">
        <f aca="false">SRC_HAR_006/SRC_HAR_004</f>
        <v>0.664112192505173</v>
      </c>
      <c r="N61" s="92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9" t="s">
        <v>3061</v>
      </c>
      <c r="R61" s="59" t="s">
        <v>3068</v>
      </c>
      <c r="S61" s="5" t="s">
        <v>3069</v>
      </c>
    </row>
    <row r="62" customFormat="false" ht="44" hidden="false" customHeight="false" outlineLevel="0" collapsed="false">
      <c r="A62" s="59" t="s">
        <v>3070</v>
      </c>
      <c r="B62" s="6" t="s">
        <v>3071</v>
      </c>
      <c r="C62" s="6" t="s">
        <v>3072</v>
      </c>
      <c r="D62" s="12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59" t="s">
        <v>97</v>
      </c>
      <c r="H62" s="5" t="s">
        <v>3064</v>
      </c>
      <c r="I62" s="6" t="s">
        <v>3065</v>
      </c>
      <c r="J62" s="6" t="s">
        <v>3066</v>
      </c>
      <c r="K62" s="6" t="s">
        <v>2961</v>
      </c>
      <c r="L62" s="59" t="s">
        <v>3067</v>
      </c>
      <c r="M62" s="92" t="n">
        <f aca="false">SRC_HAR_006/SRC_HAR_004</f>
        <v>0.664112192505173</v>
      </c>
      <c r="N62" s="92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9" t="s">
        <v>3070</v>
      </c>
      <c r="R62" s="59" t="s">
        <v>3068</v>
      </c>
      <c r="S62" s="5" t="s">
        <v>3069</v>
      </c>
    </row>
    <row r="63" customFormat="false" ht="44" hidden="false" customHeight="false" outlineLevel="0" collapsed="false">
      <c r="A63" s="59" t="s">
        <v>3073</v>
      </c>
      <c r="B63" s="6" t="s">
        <v>3074</v>
      </c>
      <c r="C63" s="6" t="s">
        <v>3075</v>
      </c>
      <c r="D63" s="12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59" t="s">
        <v>97</v>
      </c>
      <c r="H63" s="5" t="s">
        <v>3064</v>
      </c>
      <c r="I63" s="6" t="s">
        <v>3065</v>
      </c>
      <c r="J63" s="6" t="s">
        <v>3066</v>
      </c>
      <c r="K63" s="6" t="s">
        <v>2961</v>
      </c>
      <c r="L63" s="59" t="s">
        <v>3067</v>
      </c>
      <c r="M63" s="92" t="n">
        <f aca="false">SRC_HAR_006/SRC_HAR_004</f>
        <v>0.664112192505173</v>
      </c>
      <c r="N63" s="92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9" t="s">
        <v>3073</v>
      </c>
      <c r="R63" s="59" t="s">
        <v>3068</v>
      </c>
      <c r="S63" s="5" t="s">
        <v>3069</v>
      </c>
    </row>
    <row r="64" customFormat="false" ht="44" hidden="false" customHeight="false" outlineLevel="0" collapsed="false">
      <c r="A64" s="59" t="s">
        <v>3076</v>
      </c>
      <c r="B64" s="6" t="s">
        <v>3077</v>
      </c>
      <c r="C64" s="6" t="s">
        <v>3078</v>
      </c>
      <c r="D64" s="12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59" t="s">
        <v>97</v>
      </c>
      <c r="H64" s="5" t="s">
        <v>3064</v>
      </c>
      <c r="I64" s="6" t="s">
        <v>3065</v>
      </c>
      <c r="J64" s="6" t="s">
        <v>3066</v>
      </c>
      <c r="K64" s="6" t="s">
        <v>2961</v>
      </c>
      <c r="L64" s="59" t="s">
        <v>3067</v>
      </c>
      <c r="M64" s="92" t="n">
        <f aca="false">SRC_HAR_006/SRC_HAR_004</f>
        <v>0.664112192505173</v>
      </c>
      <c r="N64" s="92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9" t="s">
        <v>3076</v>
      </c>
      <c r="R64" s="59" t="s">
        <v>3068</v>
      </c>
      <c r="S64" s="5" t="s">
        <v>3069</v>
      </c>
    </row>
    <row r="65" customFormat="false" ht="44" hidden="false" customHeight="false" outlineLevel="0" collapsed="false">
      <c r="A65" s="59" t="s">
        <v>3079</v>
      </c>
      <c r="B65" s="6" t="s">
        <v>3080</v>
      </c>
      <c r="C65" s="6" t="s">
        <v>3081</v>
      </c>
      <c r="D65" s="123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59" t="s">
        <v>97</v>
      </c>
      <c r="H65" s="6" t="s">
        <v>3082</v>
      </c>
      <c r="I65" s="6" t="s">
        <v>3065</v>
      </c>
      <c r="J65" s="6" t="s">
        <v>3066</v>
      </c>
      <c r="K65" s="6" t="s">
        <v>2961</v>
      </c>
      <c r="L65" s="59" t="s">
        <v>3067</v>
      </c>
      <c r="M65" s="92" t="n">
        <f aca="false">SRC_HAR_006/SRC_HAR_004</f>
        <v>0.664112192505173</v>
      </c>
      <c r="N65" s="92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9" t="s">
        <v>3079</v>
      </c>
      <c r="R65" s="59" t="s">
        <v>3068</v>
      </c>
      <c r="S65" s="5" t="s">
        <v>3069</v>
      </c>
    </row>
    <row r="66" customFormat="false" ht="29.85" hidden="false" customHeight="false" outlineLevel="0" collapsed="false">
      <c r="A66" s="59" t="s">
        <v>3083</v>
      </c>
      <c r="B66" s="6" t="s">
        <v>3084</v>
      </c>
      <c r="C66" s="6" t="s">
        <v>3085</v>
      </c>
      <c r="D66" s="123" t="n">
        <f aca="false">SRC_MOD_055</f>
        <v>1.0001E+027</v>
      </c>
      <c r="E66" s="113" t="n">
        <f aca="false">SRC_MOD_055_Lo</f>
        <v>5E+026</v>
      </c>
      <c r="F66" s="113" t="n">
        <f aca="false">SRC_MOD_055_Hi</f>
        <v>2E+027</v>
      </c>
      <c r="G66" s="59" t="s">
        <v>301</v>
      </c>
      <c r="H66" s="6" t="s">
        <v>3086</v>
      </c>
      <c r="I66" s="5" t="s">
        <v>3087</v>
      </c>
      <c r="J66" s="6" t="s">
        <v>3088</v>
      </c>
      <c r="K66" s="6" t="s">
        <v>3089</v>
      </c>
      <c r="L66" s="59" t="s">
        <v>2900</v>
      </c>
      <c r="M66" s="92" t="n">
        <f aca="false">SRC_MOD_055</f>
        <v>1.0001E+027</v>
      </c>
      <c r="N66" s="92" t="n">
        <f aca="false">SRC_MOD_055</f>
        <v>1.0001E+027</v>
      </c>
      <c r="O66" s="74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9" t="s">
        <v>3083</v>
      </c>
      <c r="R66" s="59" t="s">
        <v>3090</v>
      </c>
      <c r="S66" s="6" t="s">
        <v>608</v>
      </c>
    </row>
    <row r="67" customFormat="false" ht="29.85" hidden="false" customHeight="false" outlineLevel="0" collapsed="false">
      <c r="A67" s="59" t="s">
        <v>3091</v>
      </c>
      <c r="B67" s="6" t="s">
        <v>3092</v>
      </c>
      <c r="C67" s="6" t="s">
        <v>3093</v>
      </c>
      <c r="D67" s="123" t="n">
        <f aca="false">L1_PretrainFLOP_Astra_Ext/L1_PretrainFLOP_Astra</f>
        <v>14.6162424528429</v>
      </c>
      <c r="E67" s="113" t="n">
        <f aca="false">L1_PretrainFLOP_Astra_Ext_Lo/L1_PretrainFLOP_Astra</f>
        <v>7.30739048737272</v>
      </c>
      <c r="F67" s="113" t="n">
        <f aca="false">L1_PretrainFLOP_Astra_Ext_Hi/L1_PretrainFLOP_Astra</f>
        <v>29.2295619494909</v>
      </c>
      <c r="G67" s="59" t="s">
        <v>97</v>
      </c>
      <c r="H67" s="5" t="s">
        <v>3094</v>
      </c>
      <c r="I67" s="5" t="s">
        <v>3095</v>
      </c>
      <c r="J67" s="6" t="s">
        <v>2898</v>
      </c>
      <c r="K67" s="6" t="s">
        <v>2899</v>
      </c>
      <c r="L67" s="59" t="s">
        <v>608</v>
      </c>
      <c r="M67" s="113" t="s">
        <v>608</v>
      </c>
      <c r="N67" s="113" t="s">
        <v>608</v>
      </c>
      <c r="O67" s="74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9" t="s">
        <v>3091</v>
      </c>
      <c r="R67" s="59" t="s">
        <v>3096</v>
      </c>
      <c r="S67" s="6" t="s">
        <v>608</v>
      </c>
    </row>
    <row r="68" customFormat="false" ht="44" hidden="false" customHeight="false" outlineLevel="0" collapsed="false">
      <c r="A68" s="59" t="s">
        <v>3097</v>
      </c>
      <c r="B68" s="5" t="s">
        <v>3098</v>
      </c>
      <c r="C68" s="6" t="s">
        <v>3099</v>
      </c>
      <c r="D68" s="123" t="n">
        <f aca="false">IF(ISNUMBER(L1_Ans3),SRC_DEM_006/L1_Ans3,"—")</f>
        <v>10.8238460955414</v>
      </c>
      <c r="E68" s="113" t="n">
        <f aca="false">IF(ISNUMBER(L1_Ans3_Hi),SRC_DEM_006/L1_Ans3_Hi,"—")</f>
        <v>1.54626372793448</v>
      </c>
      <c r="F68" s="113" t="n">
        <f aca="false">IF(ISNUMBER(L1_Ans3_Lo),SRC_DEM_006/L1_Ans3_Lo,"—")</f>
        <v>21.6476921910827</v>
      </c>
      <c r="G68" s="59" t="s">
        <v>97</v>
      </c>
      <c r="H68" s="5" t="s">
        <v>3100</v>
      </c>
      <c r="I68" s="5" t="s">
        <v>3101</v>
      </c>
      <c r="J68" s="6" t="s">
        <v>2924</v>
      </c>
      <c r="K68" s="5" t="s">
        <v>2925</v>
      </c>
      <c r="L68" s="59" t="s">
        <v>3102</v>
      </c>
      <c r="M68" s="113" t="s">
        <v>608</v>
      </c>
      <c r="N68" s="113" t="s">
        <v>608</v>
      </c>
      <c r="O68" s="74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9" t="s">
        <v>3097</v>
      </c>
      <c r="R68" s="59" t="s">
        <v>3103</v>
      </c>
      <c r="S68" s="5" t="s">
        <v>3104</v>
      </c>
    </row>
    <row r="69" customFormat="false" ht="44" hidden="false" customHeight="false" outlineLevel="0" collapsed="false">
      <c r="A69" s="59" t="s">
        <v>3105</v>
      </c>
      <c r="B69" s="5" t="s">
        <v>3106</v>
      </c>
      <c r="C69" s="6" t="s">
        <v>3099</v>
      </c>
      <c r="D69" s="123" t="n">
        <f aca="false">IF(AND(ISNUMBER(AL_ServeGW),ISNUMBER(AL_ServeGWSpend)),AL_ServeGWSpend/AL_ServeGW,"SLO 不可達")</f>
        <v>4.91857124656435</v>
      </c>
      <c r="E69" s="92" t="n">
        <f aca="false">IF(AND(ISNUMBER(Alloc!$Q$80),ISNUMBER(AL_ServeGWSpend)),AL_ServeGWSpend/Alloc!$Q$80,"SLO 不可達")</f>
        <v>2.71684371487847</v>
      </c>
      <c r="F69" s="92" t="n">
        <f aca="false">IF(AND(ISNUMBER(Alloc!$Q$79),ISNUMBER(AL_ServeGWSpend)),AL_ServeGWSpend/Alloc!$Q$79,"SLO 不可達")</f>
        <v>6.40057748463696</v>
      </c>
      <c r="G69" s="59" t="s">
        <v>97</v>
      </c>
      <c r="H69" s="5" t="s">
        <v>3107</v>
      </c>
      <c r="I69" s="5" t="s">
        <v>3108</v>
      </c>
      <c r="J69" s="5" t="s">
        <v>3109</v>
      </c>
      <c r="K69" s="5" t="s">
        <v>3110</v>
      </c>
      <c r="L69" s="59" t="s">
        <v>3111</v>
      </c>
      <c r="M69" s="113" t="s">
        <v>608</v>
      </c>
      <c r="N69" s="113" t="s">
        <v>608</v>
      </c>
      <c r="O69" s="74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9" t="s">
        <v>3105</v>
      </c>
      <c r="R69" s="59" t="s">
        <v>3112</v>
      </c>
      <c r="S69" s="5" t="s">
        <v>3104</v>
      </c>
    </row>
    <row r="70" customFormat="false" ht="199.95" hidden="false" customHeight="false" outlineLevel="0" collapsed="false">
      <c r="A70" s="59" t="s">
        <v>3113</v>
      </c>
      <c r="B70" s="5" t="s">
        <v>3114</v>
      </c>
      <c r="C70" s="6" t="s">
        <v>3115</v>
      </c>
      <c r="D70" s="114" t="n">
        <f aca="false">Cap_In!$C$251</f>
        <v>1.30130827912838</v>
      </c>
      <c r="E70" s="92" t="n">
        <f aca="false">Cap_In!$D$251</f>
        <v>1</v>
      </c>
      <c r="F70" s="92" t="n">
        <f aca="false">Cap_In!$E$251</f>
        <v>2.35588725607769</v>
      </c>
      <c r="G70" s="59" t="s">
        <v>97</v>
      </c>
      <c r="H70" s="5" t="s">
        <v>3116</v>
      </c>
      <c r="I70" s="5" t="s">
        <v>3117</v>
      </c>
      <c r="J70" s="5" t="s">
        <v>2159</v>
      </c>
      <c r="K70" s="5" t="s">
        <v>3118</v>
      </c>
      <c r="L70" s="59" t="s">
        <v>3119</v>
      </c>
      <c r="M70" s="92" t="n">
        <f aca="false">(SRC_DEM_014+SRC_DEM_015)/CST_TokPerPromptV528</f>
        <v>3.2</v>
      </c>
      <c r="N70" s="92" t="n">
        <f aca="false">(SRC_DEM_014+SRC_DEM_015)/CST_TokPerPromptV528</f>
        <v>3.2</v>
      </c>
      <c r="O70" s="74" t="n">
        <f aca="false">IF(AND(ISNUMBER(D70),ISNUMBER(M70),ISNUMBER(N70)),D70/((M70+N70)/2),"—")</f>
        <v>0.406658837227617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9" t="s">
        <v>3113</v>
      </c>
      <c r="R70" s="59" t="s">
        <v>3120</v>
      </c>
      <c r="S70" s="6" t="s">
        <v>608</v>
      </c>
    </row>
    <row r="71" customFormat="false" ht="114.9" hidden="false" customHeight="false" outlineLevel="0" collapsed="false">
      <c r="A71" s="59" t="s">
        <v>3121</v>
      </c>
      <c r="B71" s="5" t="s">
        <v>3122</v>
      </c>
      <c r="C71" s="6" t="s">
        <v>3123</v>
      </c>
      <c r="D71" s="123" t="n">
        <f aca="false">AL_SpendBasis</f>
        <v>1.3</v>
      </c>
      <c r="E71" s="113" t="n">
        <f aca="false">AL_SpendBasis_Lo</f>
        <v>1</v>
      </c>
      <c r="F71" s="113" t="n">
        <f aca="false">AL_SpendBasis_Hi</f>
        <v>1.6</v>
      </c>
      <c r="G71" s="59" t="s">
        <v>97</v>
      </c>
      <c r="H71" s="6" t="s">
        <v>3124</v>
      </c>
      <c r="I71" s="5" t="s">
        <v>3125</v>
      </c>
      <c r="J71" s="5" t="s">
        <v>3126</v>
      </c>
      <c r="K71" s="5" t="s">
        <v>3127</v>
      </c>
      <c r="L71" s="59" t="s">
        <v>608</v>
      </c>
      <c r="M71" s="113" t="s">
        <v>608</v>
      </c>
      <c r="N71" s="113" t="s">
        <v>608</v>
      </c>
      <c r="O71" s="74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9" t="s">
        <v>3121</v>
      </c>
      <c r="R71" s="59" t="s">
        <v>3128</v>
      </c>
      <c r="S71" s="5" t="s">
        <v>3129</v>
      </c>
    </row>
    <row r="72" customFormat="false" ht="100.7" hidden="false" customHeight="false" outlineLevel="0" collapsed="false">
      <c r="A72" s="59" t="s">
        <v>3130</v>
      </c>
      <c r="B72" s="5" t="s">
        <v>3131</v>
      </c>
      <c r="C72" s="6" t="s">
        <v>3132</v>
      </c>
      <c r="D72" s="123" t="n">
        <f aca="false">1/AL_Kappa</f>
        <v>1</v>
      </c>
      <c r="E72" s="113" t="n">
        <f aca="false">1/AL_Kappa_Hi</f>
        <v>0.833333333333333</v>
      </c>
      <c r="F72" s="113" t="n">
        <f aca="false">1/AL_Kappa_Lo</f>
        <v>1.53846153846154</v>
      </c>
      <c r="G72" s="59" t="s">
        <v>97</v>
      </c>
      <c r="H72" s="5" t="s">
        <v>3133</v>
      </c>
      <c r="I72" s="5" t="s">
        <v>3134</v>
      </c>
      <c r="J72" s="5" t="s">
        <v>3135</v>
      </c>
      <c r="K72" s="6" t="s">
        <v>3136</v>
      </c>
      <c r="L72" s="59" t="s">
        <v>608</v>
      </c>
      <c r="M72" s="113" t="s">
        <v>608</v>
      </c>
      <c r="N72" s="113" t="s">
        <v>608</v>
      </c>
      <c r="O72" s="74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9" t="s">
        <v>3130</v>
      </c>
      <c r="R72" s="59" t="s">
        <v>3137</v>
      </c>
      <c r="S72" s="6" t="s">
        <v>608</v>
      </c>
    </row>
    <row r="73" customFormat="false" ht="58.2" hidden="false" customHeight="false" outlineLevel="0" collapsed="false">
      <c r="A73" s="59" t="s">
        <v>3138</v>
      </c>
      <c r="B73" s="5" t="s">
        <v>3139</v>
      </c>
      <c r="C73" s="6" t="s">
        <v>3140</v>
      </c>
      <c r="D73" s="123" t="n">
        <f aca="false">IF_Util/AL_UtilActual</f>
        <v>1.71428571428571</v>
      </c>
      <c r="E73" s="113" t="n">
        <f aca="false">IF_Util/AL_UtilActual_Hi</f>
        <v>1.5</v>
      </c>
      <c r="F73" s="113" t="n">
        <f aca="false">IF_Util/AL_UtilActual_Lo</f>
        <v>2</v>
      </c>
      <c r="G73" s="59" t="s">
        <v>97</v>
      </c>
      <c r="H73" s="5" t="s">
        <v>3141</v>
      </c>
      <c r="I73" s="5" t="s">
        <v>3142</v>
      </c>
      <c r="J73" s="5" t="s">
        <v>3143</v>
      </c>
      <c r="K73" s="6" t="s">
        <v>3144</v>
      </c>
      <c r="L73" s="59" t="s">
        <v>3145</v>
      </c>
      <c r="M73" s="113" t="s">
        <v>608</v>
      </c>
      <c r="N73" s="113" t="s">
        <v>608</v>
      </c>
      <c r="O73" s="74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9" t="s">
        <v>3138</v>
      </c>
      <c r="R73" s="59" t="s">
        <v>3146</v>
      </c>
      <c r="S73" s="6" t="s">
        <v>608</v>
      </c>
    </row>
    <row r="74" customFormat="false" ht="72.35" hidden="false" customHeight="false" outlineLevel="0" collapsed="false">
      <c r="A74" s="59" t="s">
        <v>3147</v>
      </c>
      <c r="B74" s="5" t="s">
        <v>3148</v>
      </c>
      <c r="C74" s="6" t="s">
        <v>3149</v>
      </c>
      <c r="D74" s="123" t="n">
        <f aca="false">IF(AND(ISNUMBER(L1_GapISL),ISNUMBER(L1_GapPrompt)),L1_GapPrompt*L1_GapSpendBasis*L1_GapISL*L1_GapUtil,"SLO 不可達")</f>
        <v>2.90005845062895</v>
      </c>
      <c r="E74" s="113" t="n">
        <f aca="false">IF(AND(ISNUMBER(L1_GapISL_Lo),ISNUMBER(L1_GapPrompt_Lo)),L1_GapPrompt_Lo*L1_GapSpendBasis_Lo*L1_GapISL_Lo*L1_GapUtil_Lo,"SLO 不可達")</f>
        <v>1.25</v>
      </c>
      <c r="F74" s="113" t="n">
        <f aca="false">IF(AND(ISNUMBER(L1_GapISL_Hi),ISNUMBER(L1_GapPrompt_Hi)),L1_GapPrompt_Hi*L1_GapSpendBasis_Hi*L1_GapISL_Hi*L1_GapUtil_Hi,"SLO 不可達")</f>
        <v>11.5982141837671</v>
      </c>
      <c r="G74" s="59" t="s">
        <v>97</v>
      </c>
      <c r="H74" s="5" t="s">
        <v>3150</v>
      </c>
      <c r="I74" s="5" t="s">
        <v>3151</v>
      </c>
      <c r="J74" s="5" t="s">
        <v>3152</v>
      </c>
      <c r="K74" s="5" t="s">
        <v>3153</v>
      </c>
      <c r="L74" s="59" t="s">
        <v>3154</v>
      </c>
      <c r="M74" s="92" t="n">
        <f aca="false">L1_ScaleServe2000</f>
        <v>6.40057748463696</v>
      </c>
      <c r="N74" s="92" t="n">
        <f aca="false">L1_ScaleServe2000</f>
        <v>6.40057748463696</v>
      </c>
      <c r="O74" s="74" t="n">
        <f aca="false">IF(AND(ISNUMBER(D74),ISNUMBER(M74),ISNUMBER(N74)),D74/((M74+N74)/2),"—")</f>
        <v>0.453093249412235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59" t="s">
        <v>3147</v>
      </c>
      <c r="R74" s="59" t="s">
        <v>3096</v>
      </c>
      <c r="S74" s="6" t="s">
        <v>608</v>
      </c>
    </row>
    <row r="75" customFormat="false" ht="58.2" hidden="false" customHeight="false" outlineLevel="0" collapsed="false">
      <c r="A75" s="59" t="s">
        <v>3155</v>
      </c>
      <c r="B75" s="5" t="s">
        <v>3156</v>
      </c>
      <c r="C75" s="5" t="s">
        <v>3157</v>
      </c>
      <c r="D75" s="123" t="n">
        <f aca="false">INDEX(IF_CapexIT,1,8)</f>
        <v>32.237224</v>
      </c>
      <c r="E75" s="113" t="n">
        <f aca="false">INDEX(IF_CapexIT,1,7)</f>
        <v>28.5549024</v>
      </c>
      <c r="F75" s="113" t="n">
        <f aca="false">INDEX(IF_CapexIT,1,9)</f>
        <v>39.2826064</v>
      </c>
      <c r="G75" s="59" t="s">
        <v>3158</v>
      </c>
      <c r="H75" s="5" t="s">
        <v>2742</v>
      </c>
      <c r="I75" s="6" t="s">
        <v>3159</v>
      </c>
      <c r="J75" s="5" t="s">
        <v>3160</v>
      </c>
      <c r="K75" s="5" t="s">
        <v>3161</v>
      </c>
      <c r="L75" s="59" t="s">
        <v>3162</v>
      </c>
      <c r="M75" s="92" t="n">
        <f aca="false">SRC_DC_014</f>
        <v>29</v>
      </c>
      <c r="N75" s="92" t="n">
        <f aca="false">SRC_DC_014</f>
        <v>29</v>
      </c>
      <c r="O75" s="74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59" t="s">
        <v>3155</v>
      </c>
      <c r="R75" s="59" t="s">
        <v>3163</v>
      </c>
      <c r="S75" s="6" t="s">
        <v>3164</v>
      </c>
    </row>
    <row r="76" customFormat="false" ht="143.25" hidden="false" customHeight="false" outlineLevel="0" collapsed="false">
      <c r="A76" s="59" t="s">
        <v>3165</v>
      </c>
      <c r="B76" s="5" t="s">
        <v>3166</v>
      </c>
      <c r="C76" s="6" t="s">
        <v>3167</v>
      </c>
      <c r="D76" s="114" t="n">
        <f aca="false">Cap_In!$C$94</f>
        <v>1.74267221182383</v>
      </c>
      <c r="E76" s="92" t="n">
        <f aca="false">Cap_In!$D$94</f>
        <v>0.752315240563261</v>
      </c>
      <c r="F76" s="92" t="n">
        <f aca="false">Cap_In!$E$94</f>
        <v>2.95329960865358</v>
      </c>
      <c r="G76" s="59" t="s">
        <v>97</v>
      </c>
      <c r="H76" s="5" t="s">
        <v>3168</v>
      </c>
      <c r="I76" s="6" t="s">
        <v>3169</v>
      </c>
      <c r="J76" s="5" t="s">
        <v>3170</v>
      </c>
      <c r="K76" s="5" t="s">
        <v>3171</v>
      </c>
      <c r="L76" s="59" t="s">
        <v>3172</v>
      </c>
      <c r="M76" s="92" t="n">
        <f aca="false">CTL_Monetize</f>
        <v>1</v>
      </c>
      <c r="N76" s="92" t="n">
        <f aca="false">CTL_Monetize</f>
        <v>1</v>
      </c>
      <c r="O76" s="74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59" t="s">
        <v>3165</v>
      </c>
      <c r="R76" s="59" t="s">
        <v>3173</v>
      </c>
      <c r="S76" s="5" t="s">
        <v>3174</v>
      </c>
    </row>
    <row r="77" customFormat="false" ht="143.25" hidden="false" customHeight="false" outlineLevel="0" collapsed="false">
      <c r="A77" s="59" t="s">
        <v>3175</v>
      </c>
      <c r="B77" s="5" t="s">
        <v>3176</v>
      </c>
      <c r="C77" s="6" t="s">
        <v>3177</v>
      </c>
      <c r="D77" s="114" t="n">
        <f aca="false">Cap_In!$C$97</f>
        <v>1.06950600886299</v>
      </c>
      <c r="E77" s="92" t="n">
        <f aca="false">Cap_In!$D$97</f>
        <v>0.338207495924328</v>
      </c>
      <c r="F77" s="92" t="n">
        <f aca="false">Cap_In!$E$97</f>
        <v>3.38207495924328</v>
      </c>
      <c r="G77" s="59" t="s">
        <v>97</v>
      </c>
      <c r="H77" s="6" t="s">
        <v>3178</v>
      </c>
      <c r="I77" s="5" t="s">
        <v>3179</v>
      </c>
      <c r="J77" s="6" t="s">
        <v>3180</v>
      </c>
      <c r="K77" s="6" t="s">
        <v>3181</v>
      </c>
      <c r="L77" s="59" t="s">
        <v>3172</v>
      </c>
      <c r="M77" s="92" t="n">
        <f aca="false">CTL_Monetize</f>
        <v>1</v>
      </c>
      <c r="N77" s="92" t="n">
        <f aca="false">CTL_Monetize</f>
        <v>1</v>
      </c>
      <c r="O77" s="74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59" t="s">
        <v>3175</v>
      </c>
      <c r="R77" s="59" t="s">
        <v>3182</v>
      </c>
      <c r="S77" s="6" t="s">
        <v>3183</v>
      </c>
    </row>
    <row r="78" customFormat="false" ht="214.15" hidden="false" customHeight="false" outlineLevel="0" collapsed="false">
      <c r="A78" s="59" t="s">
        <v>3184</v>
      </c>
      <c r="B78" s="5" t="s">
        <v>3185</v>
      </c>
      <c r="C78" s="6" t="s">
        <v>3186</v>
      </c>
      <c r="D78" s="114" t="n">
        <f aca="false">Cap_In!$C$119</f>
        <v>0.789593015115665</v>
      </c>
      <c r="E78" s="92" t="n">
        <f aca="false">Cap_In!$D$119</f>
        <v>0.442880697580902</v>
      </c>
      <c r="F78" s="92" t="n">
        <f aca="false">Cap_In!$E$119</f>
        <v>1.7442685935494</v>
      </c>
      <c r="G78" s="59" t="s">
        <v>97</v>
      </c>
      <c r="H78" s="5" t="s">
        <v>3187</v>
      </c>
      <c r="I78" s="5" t="s">
        <v>3188</v>
      </c>
      <c r="J78" s="5" t="s">
        <v>3189</v>
      </c>
      <c r="K78" s="6" t="s">
        <v>3190</v>
      </c>
      <c r="L78" s="59" t="s">
        <v>3172</v>
      </c>
      <c r="M78" s="92" t="n">
        <f aca="false">CTL_Monetize</f>
        <v>1</v>
      </c>
      <c r="N78" s="92" t="n">
        <f aca="false">CTL_Monetize</f>
        <v>1</v>
      </c>
      <c r="O78" s="74" t="n">
        <f aca="false">IF(AND(ISNUMBER(D78),ISNUMBER(M78),ISNUMBER(N78)),D78/((M78+N78)/2),"—")</f>
        <v>0.789593015115665</v>
      </c>
      <c r="P78" s="58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59" t="s">
        <v>3184</v>
      </c>
      <c r="R78" s="59" t="s">
        <v>3191</v>
      </c>
      <c r="S78" s="5" t="s">
        <v>3192</v>
      </c>
    </row>
    <row r="79" customFormat="false" ht="143.25" hidden="false" customHeight="false" outlineLevel="0" collapsed="false">
      <c r="A79" s="59" t="s">
        <v>3193</v>
      </c>
      <c r="B79" s="5" t="s">
        <v>3194</v>
      </c>
      <c r="C79" s="6" t="s">
        <v>3195</v>
      </c>
      <c r="D79" s="114" t="n">
        <f aca="false">Cap_In!$C$118</f>
        <v>10309020852.952</v>
      </c>
      <c r="E79" s="92" t="n">
        <f aca="false">Cap_In!$E$118</f>
        <v>5444451637.96527</v>
      </c>
      <c r="F79" s="92" t="n">
        <f aca="false">Cap_In!$D$118</f>
        <v>16082072530.6051</v>
      </c>
      <c r="G79" s="59" t="s">
        <v>787</v>
      </c>
      <c r="H79" s="5" t="s">
        <v>3196</v>
      </c>
      <c r="I79" s="5" t="s">
        <v>3197</v>
      </c>
      <c r="J79" s="5" t="s">
        <v>3198</v>
      </c>
      <c r="K79" s="6" t="s">
        <v>3199</v>
      </c>
      <c r="L79" s="59" t="s">
        <v>3200</v>
      </c>
      <c r="M79" s="92" t="n">
        <f aca="false">AL_DPaid</f>
        <v>3825200000</v>
      </c>
      <c r="N79" s="92" t="n">
        <f aca="false">AL_DPaid</f>
        <v>3825200000</v>
      </c>
      <c r="O79" s="74" t="n">
        <f aca="false">IF(AND(ISNUMBER(D79),ISNUMBER(M79),ISNUMBER(N79)),D79/((M79+N79)/2),"—")</f>
        <v>2.69502793395168</v>
      </c>
      <c r="P79" s="58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上限＝0.37（需求在上限內）</v>
      </c>
      <c r="Q79" s="59" t="s">
        <v>3193</v>
      </c>
      <c r="R79" s="59" t="s">
        <v>3201</v>
      </c>
      <c r="S79" s="5" t="s">
        <v>3202</v>
      </c>
    </row>
    <row r="80" customFormat="false" ht="143.25" hidden="false" customHeight="false" outlineLevel="0" collapsed="false">
      <c r="A80" s="59" t="s">
        <v>3203</v>
      </c>
      <c r="B80" s="5" t="s">
        <v>3204</v>
      </c>
      <c r="C80" s="6" t="s">
        <v>3205</v>
      </c>
      <c r="D80" s="114" t="n">
        <f aca="false">Cap_In!$C$144</f>
        <v>0.56367915987388</v>
      </c>
      <c r="E80" s="92" t="n">
        <f aca="false">MIN(Cap_In!$D$144,Cap_In!$E$144)</f>
        <v>0.105689842476353</v>
      </c>
      <c r="F80" s="92" t="n">
        <f aca="false">MAX(Cap_In!$D$144,Cap_In!$E$144)</f>
        <v>0.793639699561015</v>
      </c>
      <c r="G80" s="59" t="s">
        <v>97</v>
      </c>
      <c r="H80" s="5" t="s">
        <v>3206</v>
      </c>
      <c r="I80" s="6" t="s">
        <v>3207</v>
      </c>
      <c r="J80" s="5" t="s">
        <v>3208</v>
      </c>
      <c r="K80" s="5" t="s">
        <v>3209</v>
      </c>
      <c r="L80" s="59" t="s">
        <v>3172</v>
      </c>
      <c r="M80" s="92" t="n">
        <f aca="false">CTL_Monetize</f>
        <v>1</v>
      </c>
      <c r="N80" s="92" t="n">
        <f aca="false">CTL_Monetize</f>
        <v>1</v>
      </c>
      <c r="O80" s="74" t="n">
        <f aca="false">IF(AND(ISNUMBER(D80),ISNUMBER(M80),ISNUMBER(N80)),D80/((M80+N80)/2),"—")</f>
        <v>0.56367915987388</v>
      </c>
      <c r="P80" s="58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59" t="s">
        <v>3203</v>
      </c>
      <c r="R80" s="59" t="s">
        <v>3210</v>
      </c>
      <c r="S80" s="6" t="s">
        <v>3211</v>
      </c>
    </row>
    <row r="81" customFormat="false" ht="143.25" hidden="false" customHeight="false" outlineLevel="0" collapsed="false">
      <c r="A81" s="59" t="s">
        <v>3212</v>
      </c>
      <c r="B81" s="5" t="s">
        <v>3213</v>
      </c>
      <c r="C81" s="6" t="s">
        <v>3214</v>
      </c>
      <c r="D81" s="114" t="n">
        <f aca="false">Cap_In!$C$145</f>
        <v>4.26141444864653</v>
      </c>
      <c r="E81" s="92" t="n">
        <f aca="false">Cap_In!$D$145</f>
        <v>0.752774561423002</v>
      </c>
      <c r="F81" s="92" t="n">
        <f aca="false">Cap_In!$E$145</f>
        <v>24.9597131992154</v>
      </c>
      <c r="G81" s="59" t="s">
        <v>97</v>
      </c>
      <c r="H81" s="5" t="s">
        <v>3215</v>
      </c>
      <c r="I81" s="6" t="s">
        <v>3207</v>
      </c>
      <c r="J81" s="5" t="s">
        <v>3216</v>
      </c>
      <c r="K81" s="5" t="s">
        <v>3217</v>
      </c>
      <c r="L81" s="59" t="s">
        <v>3172</v>
      </c>
      <c r="M81" s="92" t="n">
        <f aca="false">CTL_Monetize</f>
        <v>1</v>
      </c>
      <c r="N81" s="92" t="n">
        <f aca="false">CTL_Monetize</f>
        <v>1</v>
      </c>
      <c r="O81" s="74" t="n">
        <f aca="false">IF(AND(ISNUMBER(D81),ISNUMBER(M81),ISNUMBER(N81)),D81/((M81+N81)/2),"—")</f>
        <v>4.26141444864653</v>
      </c>
      <c r="P81" s="58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59" t="s">
        <v>3212</v>
      </c>
      <c r="R81" s="59" t="s">
        <v>3218</v>
      </c>
      <c r="S81" s="6" t="s">
        <v>3219</v>
      </c>
    </row>
    <row r="82" customFormat="false" ht="143.25" hidden="false" customHeight="false" outlineLevel="0" collapsed="false">
      <c r="A82" s="59" t="s">
        <v>3220</v>
      </c>
      <c r="B82" s="5" t="s">
        <v>3221</v>
      </c>
      <c r="C82" s="6" t="s">
        <v>3222</v>
      </c>
      <c r="D82" s="114" t="n">
        <f aca="false">Cap_In!$C$146</f>
        <v>1.82632047799137</v>
      </c>
      <c r="E82" s="92" t="n">
        <f aca="false">MIN(Cap_In!$D$146,Cap_In!$E$146)</f>
        <v>0.553430447876173</v>
      </c>
      <c r="F82" s="92" t="n">
        <f aca="false">MAX(Cap_In!$D$146,Cap_In!$E$146)</f>
        <v>6.84870179246764</v>
      </c>
      <c r="G82" s="59" t="s">
        <v>97</v>
      </c>
      <c r="H82" s="5" t="s">
        <v>3223</v>
      </c>
      <c r="I82" s="6" t="s">
        <v>3207</v>
      </c>
      <c r="J82" s="5" t="s">
        <v>3224</v>
      </c>
      <c r="K82" s="5" t="s">
        <v>3225</v>
      </c>
      <c r="L82" s="59" t="s">
        <v>3172</v>
      </c>
      <c r="M82" s="92" t="n">
        <f aca="false">CTL_Monetize</f>
        <v>1</v>
      </c>
      <c r="N82" s="92" t="n">
        <f aca="false">CTL_Monetize</f>
        <v>1</v>
      </c>
      <c r="O82" s="74" t="n">
        <f aca="false">IF(AND(ISNUMBER(D82),ISNUMBER(M82),ISNUMBER(N82)),D82/((M82+N82)/2),"—")</f>
        <v>1.82632047799137</v>
      </c>
      <c r="P82" s="58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59" t="s">
        <v>3220</v>
      </c>
      <c r="R82" s="59" t="s">
        <v>3226</v>
      </c>
      <c r="S82" s="5" t="s">
        <v>3227</v>
      </c>
    </row>
    <row r="83" customFormat="false" ht="143.25" hidden="false" customHeight="false" outlineLevel="0" collapsed="false">
      <c r="A83" s="59" t="s">
        <v>3228</v>
      </c>
      <c r="B83" s="6" t="s">
        <v>3229</v>
      </c>
      <c r="C83" s="6" t="s">
        <v>3230</v>
      </c>
      <c r="D83" s="114" t="n">
        <f aca="false">Cap_In!$C$151</f>
        <v>0.56367915987388</v>
      </c>
      <c r="E83" s="92" t="n">
        <f aca="false">MIN(Cap_In!$D$151,Cap_In!$E$151)</f>
        <v>0.0939465266456468</v>
      </c>
      <c r="F83" s="92" t="n">
        <f aca="false">MAX(Cap_In!$D$151,Cap_In!$E$151)</f>
        <v>1.05818626608135</v>
      </c>
      <c r="G83" s="59" t="s">
        <v>97</v>
      </c>
      <c r="H83" s="5" t="s">
        <v>3231</v>
      </c>
      <c r="I83" s="6" t="s">
        <v>3232</v>
      </c>
      <c r="J83" s="6" t="s">
        <v>3233</v>
      </c>
      <c r="K83" s="5" t="s">
        <v>3234</v>
      </c>
      <c r="L83" s="58" t="s">
        <v>3235</v>
      </c>
      <c r="M83" s="92" t="n">
        <f aca="false">Cap_In!$C$107</f>
        <v>0.196163661504425</v>
      </c>
      <c r="N83" s="92" t="n">
        <f aca="false">Cap_In!$C$107</f>
        <v>0.196163661504425</v>
      </c>
      <c r="O83" s="74" t="n">
        <f aca="false">IF(AND(ISNUMBER(D83),ISNUMBER(M83),ISNUMBER(N83)),D83/((M83+N83)/2),"—")</f>
        <v>2.87351467418019</v>
      </c>
      <c r="P83" s="58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59" t="s">
        <v>3228</v>
      </c>
      <c r="R83" s="59" t="s">
        <v>3236</v>
      </c>
      <c r="S83" s="5" t="s">
        <v>3237</v>
      </c>
    </row>
    <row r="84" customFormat="false" ht="157.45" hidden="false" customHeight="false" outlineLevel="0" collapsed="false">
      <c r="A84" s="59" t="s">
        <v>3238</v>
      </c>
      <c r="B84" s="5" t="s">
        <v>3239</v>
      </c>
      <c r="C84" s="6" t="s">
        <v>3240</v>
      </c>
      <c r="D84" s="114" t="n">
        <f aca="false">Cap_In!$C$179</f>
        <v>14426.1703324719</v>
      </c>
      <c r="E84" s="92" t="n">
        <f aca="false">Cap_In!$E$179</f>
        <v>4919.63863066505</v>
      </c>
      <c r="F84" s="92" t="n">
        <f aca="false">Cap_In!$D$179</f>
        <v>28422.9290682</v>
      </c>
      <c r="G84" s="59" t="s">
        <v>279</v>
      </c>
      <c r="H84" s="5" t="s">
        <v>3241</v>
      </c>
      <c r="I84" s="5" t="s">
        <v>3242</v>
      </c>
      <c r="J84" s="5" t="s">
        <v>3243</v>
      </c>
      <c r="K84" s="6" t="s">
        <v>3190</v>
      </c>
      <c r="L84" s="59" t="s">
        <v>3244</v>
      </c>
      <c r="M84" s="92" t="n">
        <f aca="false">AL_TokPerPrompt_Lo</f>
        <v>2000</v>
      </c>
      <c r="N84" s="92" t="n">
        <f aca="false">AL_TokPerPrompt_Hi</f>
        <v>11000</v>
      </c>
      <c r="O84" s="74" t="n">
        <f aca="false">IF(AND(ISNUMBER(D84),ISNUMBER(M84),ISNUMBER(N84)),D84/((M84+N84)/2),"—")</f>
        <v>2.21941082038029</v>
      </c>
      <c r="P84" s="58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59" t="s">
        <v>3238</v>
      </c>
      <c r="R84" s="59" t="s">
        <v>3245</v>
      </c>
      <c r="S84" s="5" t="s">
        <v>3246</v>
      </c>
    </row>
    <row r="85" customFormat="false" ht="143.25" hidden="false" customHeight="false" outlineLevel="0" collapsed="false">
      <c r="A85" s="59" t="s">
        <v>3247</v>
      </c>
      <c r="B85" s="5" t="s">
        <v>3248</v>
      </c>
      <c r="C85" s="6" t="s">
        <v>3249</v>
      </c>
      <c r="D85" s="114" t="str">
        <f aca="false">Cap_In!$C$169</f>
        <v>缺分母（需 Anthropic 年 API token）</v>
      </c>
      <c r="E85" s="92" t="str">
        <f aca="false">Cap_In!$D$169</f>
        <v>缺分母（需 Anthropic 年 API token）</v>
      </c>
      <c r="F85" s="92" t="str">
        <f aca="false">Cap_In!$E$169</f>
        <v>缺分母（需 Anthropic 年 API token）</v>
      </c>
      <c r="G85" s="59" t="s">
        <v>97</v>
      </c>
      <c r="H85" s="5" t="s">
        <v>3250</v>
      </c>
      <c r="I85" s="6" t="s">
        <v>3251</v>
      </c>
      <c r="J85" s="6" t="s">
        <v>3252</v>
      </c>
      <c r="K85" s="6" t="s">
        <v>3253</v>
      </c>
      <c r="L85" s="59" t="s">
        <v>3254</v>
      </c>
      <c r="M85" s="92" t="n">
        <f aca="false">Cap_In!$C$167</f>
        <v>0.828067117018958</v>
      </c>
      <c r="N85" s="92" t="n">
        <f aca="false">Cap_In!$C$168</f>
        <v>0.1625</v>
      </c>
      <c r="O85" s="74" t="str">
        <f aca="false">IF(AND(ISNUMBER(D85),ISNUMBER(M85),ISNUMBER(N85)),D85/((M85+N85)/2),"—")</f>
        <v>—</v>
      </c>
      <c r="P85" s="58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59" t="s">
        <v>3247</v>
      </c>
      <c r="R85" s="59" t="s">
        <v>3255</v>
      </c>
      <c r="S85" s="5" t="s">
        <v>3256</v>
      </c>
    </row>
    <row r="86" customFormat="false" ht="143.25" hidden="false" customHeight="false" outlineLevel="0" collapsed="false">
      <c r="A86" s="59" t="s">
        <v>3257</v>
      </c>
      <c r="B86" s="5" t="s">
        <v>3258</v>
      </c>
      <c r="C86" s="5" t="s">
        <v>3259</v>
      </c>
      <c r="D86" s="114" t="n">
        <f aca="false">Cap_In!$C$232</f>
        <v>0.741199548797632</v>
      </c>
      <c r="E86" s="92" t="n">
        <f aca="false">Cap_In!$D$232</f>
        <v>0.476232597886788</v>
      </c>
      <c r="F86" s="92" t="n">
        <f aca="false">Cap_In!$E$232</f>
        <v>1.16176298513761</v>
      </c>
      <c r="G86" s="59" t="s">
        <v>97</v>
      </c>
      <c r="H86" s="5" t="s">
        <v>3260</v>
      </c>
      <c r="I86" s="6" t="s">
        <v>3261</v>
      </c>
      <c r="J86" s="5" t="s">
        <v>3262</v>
      </c>
      <c r="K86" s="6" t="s">
        <v>3263</v>
      </c>
      <c r="L86" s="58" t="s">
        <v>3264</v>
      </c>
      <c r="M86" s="113" t="s">
        <v>608</v>
      </c>
      <c r="N86" s="113" t="s">
        <v>608</v>
      </c>
      <c r="O86" s="74" t="str">
        <f aca="false">IF(AND(ISNUMBER(D86),ISNUMBER(M86),ISNUMBER(N86)),D86/((M86+N86)/2),"—")</f>
        <v>—</v>
      </c>
      <c r="P86" s="58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59" t="s">
        <v>3257</v>
      </c>
      <c r="R86" s="59" t="s">
        <v>3265</v>
      </c>
      <c r="S86" s="5" t="s">
        <v>3266</v>
      </c>
    </row>
    <row r="87" customFormat="false" ht="143.25" hidden="false" customHeight="false" outlineLevel="0" collapsed="false">
      <c r="A87" s="59" t="s">
        <v>3267</v>
      </c>
      <c r="B87" s="5" t="s">
        <v>3268</v>
      </c>
      <c r="C87" s="5" t="s">
        <v>3269</v>
      </c>
      <c r="D87" s="114" t="n">
        <f aca="false">Cap_In!$C$234</f>
        <v>0.8669761972345</v>
      </c>
      <c r="E87" s="92" t="n">
        <f aca="false">Cap_In!$D$234</f>
        <v>0.718131868131868</v>
      </c>
      <c r="F87" s="92" t="n">
        <f aca="false">Cap_In!$E$234</f>
        <v>1</v>
      </c>
      <c r="G87" s="59" t="s">
        <v>97</v>
      </c>
      <c r="H87" s="5" t="s">
        <v>3270</v>
      </c>
      <c r="I87" s="6" t="s">
        <v>3261</v>
      </c>
      <c r="J87" s="6" t="s">
        <v>3271</v>
      </c>
      <c r="K87" s="6" t="s">
        <v>3272</v>
      </c>
      <c r="L87" s="58" t="s">
        <v>3273</v>
      </c>
      <c r="M87" s="113" t="s">
        <v>608</v>
      </c>
      <c r="N87" s="113" t="s">
        <v>608</v>
      </c>
      <c r="O87" s="74" t="str">
        <f aca="false">IF(AND(ISNUMBER(D87),ISNUMBER(M87),ISNUMBER(N87)),D87/((M87+N87)/2),"—")</f>
        <v>—</v>
      </c>
      <c r="P87" s="58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59" t="s">
        <v>3267</v>
      </c>
      <c r="R87" s="59" t="s">
        <v>3274</v>
      </c>
      <c r="S87" s="5" t="s">
        <v>3275</v>
      </c>
    </row>
    <row r="88" customFormat="false" ht="143.25" hidden="false" customHeight="false" outlineLevel="0" collapsed="false">
      <c r="A88" s="59" t="s">
        <v>3276</v>
      </c>
      <c r="B88" s="5" t="s">
        <v>3277</v>
      </c>
      <c r="C88" s="6" t="s">
        <v>3278</v>
      </c>
      <c r="D88" s="114" t="n">
        <f aca="false">Cap_In!$C$233</f>
        <v>0.642602366208498</v>
      </c>
      <c r="E88" s="92" t="n">
        <f aca="false">Cap_In!$D$233</f>
        <v>0.341997805185732</v>
      </c>
      <c r="F88" s="92" t="n">
        <f aca="false">Cap_In!$E$233</f>
        <v>1.16176298513761</v>
      </c>
      <c r="G88" s="59" t="s">
        <v>97</v>
      </c>
      <c r="H88" s="5" t="s">
        <v>3279</v>
      </c>
      <c r="I88" s="6" t="s">
        <v>3261</v>
      </c>
      <c r="J88" s="6" t="s">
        <v>3280</v>
      </c>
      <c r="K88" s="5" t="s">
        <v>3281</v>
      </c>
      <c r="L88" s="59" t="s">
        <v>3282</v>
      </c>
      <c r="M88" s="92" t="n">
        <f aca="false">CTL_PriceLife</f>
        <v>1</v>
      </c>
      <c r="N88" s="92" t="n">
        <f aca="false">CTL_PriceLife</f>
        <v>1</v>
      </c>
      <c r="O88" s="74" t="n">
        <f aca="false">IF(AND(ISNUMBER(D88),ISNUMBER(M88),ISNUMBER(N88)),D88/((M88+N88)/2),"—")</f>
        <v>0.642602366208498</v>
      </c>
      <c r="P88" s="58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59" t="s">
        <v>3276</v>
      </c>
      <c r="R88" s="59" t="s">
        <v>3283</v>
      </c>
      <c r="S88" s="6" t="s">
        <v>3284</v>
      </c>
    </row>
    <row r="89" customFormat="false" ht="143.25" hidden="false" customHeight="false" outlineLevel="0" collapsed="false">
      <c r="A89" s="59" t="s">
        <v>3285</v>
      </c>
      <c r="B89" s="5" t="s">
        <v>3286</v>
      </c>
      <c r="C89" s="6" t="s">
        <v>3287</v>
      </c>
      <c r="D89" s="114" t="n">
        <f aca="false">Cap_In!$C$240</f>
        <v>0.373854918269958</v>
      </c>
      <c r="E89" s="92" t="n">
        <f aca="false">Cap_In!$D$240</f>
        <v>0.16923611032399</v>
      </c>
      <c r="F89" s="92" t="n">
        <f aca="false">Cap_In!$E$240</f>
        <v>0.666529911429869</v>
      </c>
      <c r="G89" s="59" t="s">
        <v>97</v>
      </c>
      <c r="H89" s="5" t="s">
        <v>3288</v>
      </c>
      <c r="I89" s="5" t="s">
        <v>3289</v>
      </c>
      <c r="J89" s="5" t="s">
        <v>3290</v>
      </c>
      <c r="K89" s="6" t="s">
        <v>3291</v>
      </c>
      <c r="L89" s="59" t="s">
        <v>3292</v>
      </c>
      <c r="M89" s="92" t="n">
        <f aca="false">L1_LTotal</f>
        <v>0.642602366208498</v>
      </c>
      <c r="N89" s="92" t="n">
        <f aca="false">L1_LTotal</f>
        <v>0.642602366208498</v>
      </c>
      <c r="O89" s="74" t="n">
        <f aca="false">IF(AND(ISNUMBER(D89),ISNUMBER(M89),ISNUMBER(N89)),D89/((M89+N89)/2),"—")</f>
        <v>0.581782666745827</v>
      </c>
      <c r="P89" s="58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回本（L_total 口徑）：L_total 0.64 ≥ 所需 L 0.37</v>
      </c>
      <c r="Q89" s="59" t="s">
        <v>3285</v>
      </c>
      <c r="R89" s="59" t="s">
        <v>3293</v>
      </c>
      <c r="S89" s="6" t="s">
        <v>3294</v>
      </c>
    </row>
    <row r="90" customFormat="false" ht="44" hidden="false" customHeight="false" outlineLevel="0" collapsed="false">
      <c r="A90" s="59" t="s">
        <v>3154</v>
      </c>
      <c r="B90" s="5" t="s">
        <v>3295</v>
      </c>
      <c r="C90" s="6" t="s">
        <v>3296</v>
      </c>
      <c r="D90" s="114" t="n">
        <f aca="false">Cap_In!$C$253</f>
        <v>6.40057748463696</v>
      </c>
      <c r="E90" s="92" t="n">
        <f aca="false">Cap_In!$D$253</f>
        <v>6.40057748463696</v>
      </c>
      <c r="F90" s="92" t="n">
        <f aca="false">Cap_In!$E$253</f>
        <v>6.40057748463696</v>
      </c>
      <c r="G90" s="59" t="s">
        <v>97</v>
      </c>
      <c r="H90" s="5" t="s">
        <v>3297</v>
      </c>
      <c r="I90" s="6" t="s">
        <v>3298</v>
      </c>
      <c r="J90" s="5" t="s">
        <v>3299</v>
      </c>
      <c r="K90" s="5" t="s">
        <v>3300</v>
      </c>
      <c r="L90" s="59" t="s">
        <v>3301</v>
      </c>
      <c r="M90" s="113" t="s">
        <v>608</v>
      </c>
      <c r="N90" s="113" t="s">
        <v>608</v>
      </c>
      <c r="O90" s="74" t="str">
        <f aca="false">IF(AND(ISNUMBER(D90),ISNUMBER(M90),ISNUMBER(N90)),D90/((M90+N90)/2),"—")</f>
        <v>—</v>
      </c>
      <c r="P90" s="58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59" t="s">
        <v>3154</v>
      </c>
      <c r="R90" s="59" t="s">
        <v>3302</v>
      </c>
      <c r="S90" s="5" t="s">
        <v>3104</v>
      </c>
    </row>
    <row r="91" customFormat="false" ht="129.1" hidden="false" customHeight="false" outlineLevel="0" collapsed="false">
      <c r="A91" s="59" t="s">
        <v>3303</v>
      </c>
      <c r="B91" s="5" t="s">
        <v>3304</v>
      </c>
      <c r="C91" s="6" t="s">
        <v>3305</v>
      </c>
      <c r="D91" s="114" t="n">
        <f aca="false">IF(ISNUMBER(L1_MFleet),L1_MFleet*Cap_In!$C$90,"m 非數字（本情境）")</f>
        <v>1.54813572357469</v>
      </c>
      <c r="E91" s="92" t="n">
        <f aca="false">IF(ISNUMBER(L1_MFleet_Lo),L1_MFleet_Lo*Cap_In!$C$90,"m 非數字（本情境）")</f>
        <v>0.868345357774267</v>
      </c>
      <c r="F91" s="92" t="n">
        <f aca="false">IF(ISNUMBER(L1_MFleet_Hi),L1_MFleet_Hi*Cap_In!$C$90,"m 非數字（本情境）")</f>
        <v>3.41994479369557</v>
      </c>
      <c r="G91" s="59" t="s">
        <v>795</v>
      </c>
      <c r="H91" s="5" t="s">
        <v>3306</v>
      </c>
      <c r="I91" s="5" t="s">
        <v>3307</v>
      </c>
      <c r="J91" s="5" t="s">
        <v>3308</v>
      </c>
      <c r="K91" s="6" t="s">
        <v>3309</v>
      </c>
      <c r="L91" s="58" t="s">
        <v>3273</v>
      </c>
      <c r="M91" s="113" t="s">
        <v>608</v>
      </c>
      <c r="N91" s="113" t="s">
        <v>608</v>
      </c>
      <c r="O91" s="74" t="str">
        <f aca="false">IF(AND(ISNUMBER(D91),ISNUMBER(M91),ISNUMBER(N91)),D91/((M91+N91)/2),"—")</f>
        <v>—</v>
      </c>
      <c r="P91" s="58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59" t="s">
        <v>3303</v>
      </c>
      <c r="R91" s="59" t="s">
        <v>3310</v>
      </c>
      <c r="S91" s="5" t="s">
        <v>3311</v>
      </c>
    </row>
    <row r="92" customFormat="false" ht="129.1" hidden="false" customHeight="false" outlineLevel="0" collapsed="false">
      <c r="A92" s="59" t="s">
        <v>3312</v>
      </c>
      <c r="B92" s="5" t="s">
        <v>3313</v>
      </c>
      <c r="C92" s="6" t="s">
        <v>3314</v>
      </c>
      <c r="D92" s="114" t="n">
        <f aca="false">IF(ISNUMBER(L1_MImplied),L1_MImplied*Cap_In!$C$90,"m 非數字（本情境）")</f>
        <v>3.41681480706891</v>
      </c>
      <c r="E92" s="92" t="n">
        <f aca="false">IF(ISNUMBER(L1_MImplied_Lo),L1_MImplied_Lo*Cap_In!$C$90,"m 非數字（本情境）")</f>
        <v>1.47504610224428</v>
      </c>
      <c r="F92" s="92" t="n">
        <f aca="false">IF(ISNUMBER(L1_MImplied_Hi),L1_MImplied_Hi*Cap_In!$C$90,"m 非數字（本情境）")</f>
        <v>5.79046235091885</v>
      </c>
      <c r="G92" s="59" t="s">
        <v>795</v>
      </c>
      <c r="H92" s="5" t="s">
        <v>3315</v>
      </c>
      <c r="I92" s="5" t="s">
        <v>3307</v>
      </c>
      <c r="J92" s="5" t="s">
        <v>3316</v>
      </c>
      <c r="K92" s="5" t="s">
        <v>3317</v>
      </c>
      <c r="L92" s="58" t="s">
        <v>3273</v>
      </c>
      <c r="M92" s="113" t="s">
        <v>608</v>
      </c>
      <c r="N92" s="113" t="s">
        <v>608</v>
      </c>
      <c r="O92" s="74" t="str">
        <f aca="false">IF(AND(ISNUMBER(D92),ISNUMBER(M92),ISNUMBER(N92)),D92/((M92+N92)/2),"—")</f>
        <v>—</v>
      </c>
      <c r="P92" s="58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59" t="s">
        <v>3312</v>
      </c>
      <c r="R92" s="59" t="s">
        <v>3310</v>
      </c>
      <c r="S92" s="5" t="s">
        <v>3311</v>
      </c>
    </row>
    <row r="93" customFormat="false" ht="129.1" hidden="false" customHeight="false" outlineLevel="0" collapsed="false">
      <c r="A93" s="59" t="s">
        <v>3318</v>
      </c>
      <c r="B93" s="5" t="s">
        <v>3319</v>
      </c>
      <c r="C93" s="6" t="s">
        <v>3320</v>
      </c>
      <c r="D93" s="114" t="n">
        <f aca="false">IF(AND(ISNUMBER(L1_FleetBreakeven),ISNUMBER(L1_LTotal)),L1_FleetBreakeven/(IF_Util*CTL_ProdDerate)*Cap_In!$C$90/L1_LTotal,"m 非數字（本情境）")</f>
        <v>0.900678529745765</v>
      </c>
      <c r="E93" s="92" t="n">
        <f aca="false">IF(AND(ISNUMBER(L1_FleetBreakeven),ISNUMBER(L1_LTotal_Hi)),L1_FleetBreakeven/(IF_Util*CTL_ProdDerate)*Cap_In!$C$90/L1_LTotal_Hi,"m 非數字（本情境）")</f>
        <v>0.498189529027958</v>
      </c>
      <c r="F93" s="92" t="n">
        <f aca="false">IF(AND(ISNUMBER(L1_FleetBreakeven),ISNUMBER(L1_LTotal_Lo)),L1_FleetBreakeven/(IF_Util*CTL_ProdDerate)*Cap_In!$C$90/L1_LTotal_Lo,"m 非數字（本情境）")</f>
        <v>1.69234464558478</v>
      </c>
      <c r="G93" s="59" t="s">
        <v>795</v>
      </c>
      <c r="H93" s="5" t="s">
        <v>3321</v>
      </c>
      <c r="I93" s="5" t="s">
        <v>3307</v>
      </c>
      <c r="J93" s="5" t="s">
        <v>3322</v>
      </c>
      <c r="K93" s="6" t="s">
        <v>3323</v>
      </c>
      <c r="L93" s="58" t="s">
        <v>3324</v>
      </c>
      <c r="M93" s="92" t="n">
        <f aca="false">L1_PriceRealFleet</f>
        <v>1.54813572357469</v>
      </c>
      <c r="N93" s="92" t="n">
        <f aca="false">L1_PriceRealFleet</f>
        <v>1.54813572357469</v>
      </c>
      <c r="O93" s="74" t="n">
        <f aca="false">IF(AND(ISNUMBER(D93),ISNUMBER(M93),ISNUMBER(N93)),D93/((M93+N93)/2),"—")</f>
        <v>0.581782666745827</v>
      </c>
      <c r="P93" s="58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回本：機隊實收 1.55 ≥ 所需 0.90 $/M</v>
      </c>
      <c r="Q93" s="59" t="s">
        <v>3318</v>
      </c>
      <c r="R93" s="59" t="s">
        <v>3310</v>
      </c>
      <c r="S93" s="5" t="s">
        <v>3325</v>
      </c>
    </row>
    <row r="94" customFormat="false" ht="86.55" hidden="false" customHeight="false" outlineLevel="0" collapsed="false">
      <c r="A94" s="59" t="s">
        <v>3326</v>
      </c>
      <c r="B94" s="5" t="s">
        <v>3327</v>
      </c>
      <c r="C94" s="5" t="s">
        <v>3328</v>
      </c>
      <c r="D94" s="114" t="n">
        <f aca="false">Cap_In!$C$263</f>
        <v>1.16494745575221</v>
      </c>
      <c r="E94" s="92" t="n">
        <f aca="false">Cap_In!$D$263</f>
        <v>0.832300884955752</v>
      </c>
      <c r="F94" s="92" t="n">
        <f aca="false">Cap_In!$E$263</f>
        <v>1.35497787610619</v>
      </c>
      <c r="G94" s="59" t="s">
        <v>97</v>
      </c>
      <c r="H94" s="5" t="s">
        <v>3329</v>
      </c>
      <c r="I94" s="5" t="s">
        <v>3330</v>
      </c>
      <c r="J94" s="6" t="s">
        <v>3331</v>
      </c>
      <c r="K94" s="5" t="s">
        <v>3332</v>
      </c>
      <c r="L94" s="58" t="s">
        <v>3273</v>
      </c>
      <c r="M94" s="113" t="s">
        <v>608</v>
      </c>
      <c r="N94" s="113" t="s">
        <v>608</v>
      </c>
      <c r="O94" s="74" t="str">
        <f aca="false">IF(AND(ISNUMBER(D94),ISNUMBER(M94),ISNUMBER(N94)),D94/((M94+N94)/2),"—")</f>
        <v>—</v>
      </c>
      <c r="P94" s="58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59" t="s">
        <v>3326</v>
      </c>
      <c r="R94" s="59" t="s">
        <v>3333</v>
      </c>
      <c r="S94" s="5" t="s">
        <v>3334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3335</v>
      </c>
    </row>
    <row r="2" customFormat="false" ht="15" hidden="false" customHeight="false" outlineLevel="0" collapsed="false">
      <c r="A2" s="56" t="s">
        <v>3336</v>
      </c>
    </row>
    <row r="3" customFormat="false" ht="15" hidden="false" customHeight="false" outlineLevel="0" collapsed="false">
      <c r="A3" s="71" t="s">
        <v>3337</v>
      </c>
      <c r="C3" s="59" t="s">
        <v>3338</v>
      </c>
    </row>
    <row r="4" customFormat="false" ht="58.2" hidden="false" customHeight="false" outlineLevel="0" collapsed="false">
      <c r="A4" s="82" t="s">
        <v>3339</v>
      </c>
      <c r="B4" s="81" t="s">
        <v>12</v>
      </c>
      <c r="C4" s="81" t="s">
        <v>3340</v>
      </c>
      <c r="D4" s="81" t="s">
        <v>3341</v>
      </c>
      <c r="E4" s="81" t="s">
        <v>3342</v>
      </c>
      <c r="F4" s="81" t="s">
        <v>1137</v>
      </c>
      <c r="G4" s="81" t="s">
        <v>1138</v>
      </c>
      <c r="H4" s="82" t="s">
        <v>3343</v>
      </c>
      <c r="I4" s="82" t="s">
        <v>3344</v>
      </c>
      <c r="J4" s="81" t="s">
        <v>3345</v>
      </c>
      <c r="K4" s="81" t="s">
        <v>3346</v>
      </c>
      <c r="L4" s="81" t="s">
        <v>3347</v>
      </c>
      <c r="M4" s="81" t="s">
        <v>3348</v>
      </c>
      <c r="N4" s="81" t="s">
        <v>3349</v>
      </c>
    </row>
    <row r="5" customFormat="false" ht="293.25" hidden="false" customHeight="false" outlineLevel="0" collapsed="false">
      <c r="A5" s="90" t="str">
        <f aca="false">Gov_Map!$A$98</f>
        <v>GM094</v>
      </c>
      <c r="B5" s="90" t="str">
        <f aca="false">Gov_Map!$C$98</f>
        <v>Spec_Rack</v>
      </c>
      <c r="C5" s="90" t="str">
        <f aca="false">Gov_Map!$D$98</f>
        <v>G12</v>
      </c>
      <c r="D5" s="208" t="str">
        <f aca="false">Gov_Map!$E$98</f>
        <v>機架價格 基準（$M）</v>
      </c>
      <c r="E5" s="90" t="str">
        <f aca="false">Gov_Map!$F$98</f>
        <v>Assumed</v>
      </c>
      <c r="F5" s="96" t="n">
        <f aca="false">Gov_Map!$K$98</f>
        <v>12.6</v>
      </c>
      <c r="G5" s="96" t="n">
        <f aca="false">Gov_Map!$L$98</f>
        <v>21</v>
      </c>
      <c r="H5" s="90" t="str">
        <f aca="false">Gov_Map!$P$98</f>
        <v>高</v>
      </c>
      <c r="I5" s="90" t="str">
        <f aca="false">Gov_Map!$T$98</f>
        <v>—</v>
      </c>
      <c r="J5" s="85" t="s">
        <v>3350</v>
      </c>
      <c r="K5" s="208" t="str">
        <f aca="false">IF(Gov_Map!$AK$98="","—",Gov_Map!$AK$98)</f>
        <v>—</v>
      </c>
      <c r="L5" s="90" t="str">
        <f aca="false">IF(ISNUMBER(Gov_Map!$AF$98),INDEX(IDX_SrcDate,Gov_Map!$AF$98),"—")</f>
        <v>—</v>
      </c>
      <c r="M5" s="91" t="s">
        <v>3351</v>
      </c>
      <c r="N5" s="109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80.55" hidden="false" customHeight="false" outlineLevel="0" collapsed="false">
      <c r="A6" s="90" t="str">
        <f aca="false">Gov_Map!$A$207</f>
        <v>GM203</v>
      </c>
      <c r="B6" s="90" t="str">
        <f aca="false">Gov_Map!$C$207</f>
        <v>Arch</v>
      </c>
      <c r="C6" s="90" t="str">
        <f aca="false">Gov_Map!$D$207</f>
        <v>E6</v>
      </c>
      <c r="D6" s="208" t="str">
        <f aca="false">Gov_Map!$E$207</f>
        <v>總參數</v>
      </c>
      <c r="E6" s="90" t="str">
        <f aca="false">Gov_Map!$F$207</f>
        <v>Assumed</v>
      </c>
      <c r="F6" s="90" t="n">
        <f aca="false">Gov_Map!$K$207</f>
        <v>2000</v>
      </c>
      <c r="G6" s="90" t="n">
        <f aca="false">Gov_Map!$L$207</f>
        <v>10000</v>
      </c>
      <c r="H6" s="90" t="str">
        <f aca="false">Gov_Map!$P$207</f>
        <v>高</v>
      </c>
      <c r="I6" s="90" t="str">
        <f aca="false">Gov_Map!$T$207</f>
        <v>—</v>
      </c>
      <c r="J6" s="85" t="s">
        <v>3352</v>
      </c>
      <c r="K6" s="208" t="str">
        <f aca="false">IF(Gov_Map!$AK$207="","—",Gov_Map!$AK$207)</f>
        <v>—</v>
      </c>
      <c r="L6" s="90" t="str">
        <f aca="false">IF(ISNUMBER(Gov_Map!$AF$207),INDEX(IDX_SrcDate,Gov_Map!$AF$207),"—")</f>
        <v>—</v>
      </c>
      <c r="M6" s="91" t="s">
        <v>3353</v>
      </c>
      <c r="N6" s="109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93.25" hidden="false" customHeight="false" outlineLevel="0" collapsed="false">
      <c r="A7" s="90" t="str">
        <f aca="false">Gov_Map!$A$208</f>
        <v>GM204</v>
      </c>
      <c r="B7" s="90" t="str">
        <f aca="false">Gov_Map!$C$208</f>
        <v>Arch</v>
      </c>
      <c r="C7" s="90" t="str">
        <f aca="false">Gov_Map!$D$208</f>
        <v>E7</v>
      </c>
      <c r="D7" s="208" t="str">
        <f aca="false">Gov_Map!$E$208</f>
        <v>啟用參數</v>
      </c>
      <c r="E7" s="90" t="str">
        <f aca="false">Gov_Map!$F$208</f>
        <v>Assumed</v>
      </c>
      <c r="F7" s="90" t="n">
        <f aca="false">Gov_Map!$K$208</f>
        <v>60</v>
      </c>
      <c r="G7" s="90" t="n">
        <f aca="false">Gov_Map!$L$208</f>
        <v>250</v>
      </c>
      <c r="H7" s="90" t="str">
        <f aca="false">Gov_Map!$P$208</f>
        <v>高</v>
      </c>
      <c r="I7" s="90" t="str">
        <f aca="false">Gov_Map!$T$208</f>
        <v>—</v>
      </c>
      <c r="J7" s="85" t="s">
        <v>3354</v>
      </c>
      <c r="K7" s="208" t="str">
        <f aca="false">IF(Gov_Map!$AK$208="","—",Gov_Map!$AK$208)</f>
        <v>—</v>
      </c>
      <c r="L7" s="90" t="str">
        <f aca="false">IF(ISNUMBER(Gov_Map!$AF$208),INDEX(IDX_SrcDate,Gov_Map!$AF$208),"—")</f>
        <v>—</v>
      </c>
      <c r="M7" s="91" t="s">
        <v>3355</v>
      </c>
      <c r="N7" s="109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93.25" hidden="false" customHeight="false" outlineLevel="0" collapsed="false">
      <c r="A8" s="90" t="str">
        <f aca="false">Gov_Map!$A$209</f>
        <v>GM205</v>
      </c>
      <c r="B8" s="90" t="str">
        <f aca="false">Gov_Map!$C$209</f>
        <v>Arch</v>
      </c>
      <c r="C8" s="90" t="str">
        <f aca="false">Gov_Map!$D$209</f>
        <v>E8</v>
      </c>
      <c r="D8" s="208" t="str">
        <f aca="false">Gov_Map!$E$209</f>
        <v>層數</v>
      </c>
      <c r="E8" s="90" t="str">
        <f aca="false">Gov_Map!$F$209</f>
        <v>Assumed</v>
      </c>
      <c r="F8" s="90" t="n">
        <f aca="false">Gov_Map!$K$209</f>
        <v>80</v>
      </c>
      <c r="G8" s="90" t="n">
        <f aca="false">Gov_Map!$L$209</f>
        <v>160</v>
      </c>
      <c r="H8" s="90" t="str">
        <f aca="false">Gov_Map!$P$209</f>
        <v>高</v>
      </c>
      <c r="I8" s="90" t="str">
        <f aca="false">Gov_Map!$T$209</f>
        <v>—</v>
      </c>
      <c r="J8" s="85" t="s">
        <v>3354</v>
      </c>
      <c r="K8" s="208" t="str">
        <f aca="false">IF(Gov_Map!$AK$209="","—",Gov_Map!$AK$209)</f>
        <v>—</v>
      </c>
      <c r="L8" s="90" t="str">
        <f aca="false">IF(ISNUMBER(Gov_Map!$AF$209),INDEX(IDX_SrcDate,Gov_Map!$AF$209),"—")</f>
        <v>—</v>
      </c>
      <c r="M8" s="91" t="s">
        <v>3356</v>
      </c>
      <c r="N8" s="109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79.1" hidden="false" customHeight="false" outlineLevel="0" collapsed="false">
      <c r="A9" s="90" t="str">
        <f aca="false">Gov_Map!$A$240</f>
        <v>GM236</v>
      </c>
      <c r="B9" s="90" t="str">
        <f aca="false">Gov_Map!$C$240</f>
        <v>Serving</v>
      </c>
      <c r="C9" s="90" t="str">
        <f aca="false">Gov_Map!$D$240</f>
        <v>C17</v>
      </c>
      <c r="D9" s="208" t="str">
        <f aca="false">Gov_Map!$E$240</f>
        <v>基準利用率（第 0 層）</v>
      </c>
      <c r="E9" s="90" t="str">
        <f aca="false">Gov_Map!$F$240</f>
        <v>Assumed</v>
      </c>
      <c r="F9" s="90" t="n">
        <f aca="false">Gov_Map!$K$240</f>
        <v>0.4</v>
      </c>
      <c r="G9" s="90" t="n">
        <f aca="false">Gov_Map!$L$240</f>
        <v>0.8</v>
      </c>
      <c r="H9" s="90" t="str">
        <f aca="false">Gov_Map!$P$240</f>
        <v>高</v>
      </c>
      <c r="I9" s="90" t="str">
        <f aca="false">Gov_Map!$T$240</f>
        <v>—</v>
      </c>
      <c r="J9" s="85" t="s">
        <v>3357</v>
      </c>
      <c r="K9" s="208" t="str">
        <f aca="false">IF(Gov_Map!$AK$240="","—",Gov_Map!$AK$240)</f>
        <v>—</v>
      </c>
      <c r="L9" s="90" t="str">
        <f aca="false">IF(ISNUMBER(Gov_Map!$AF$240),INDEX(IDX_SrcDate,Gov_Map!$AF$240),"—")</f>
        <v>—</v>
      </c>
      <c r="M9" s="91" t="s">
        <v>3358</v>
      </c>
      <c r="N9" s="109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80.55" hidden="false" customHeight="false" outlineLevel="0" collapsed="false">
      <c r="A10" s="90" t="str">
        <f aca="false">Gov_Map!$A$241</f>
        <v>GM237</v>
      </c>
      <c r="B10" s="90" t="str">
        <f aca="false">Gov_Map!$C$241</f>
        <v>Serving</v>
      </c>
      <c r="C10" s="90" t="str">
        <f aca="false">Gov_Map!$D$241</f>
        <v>C18</v>
      </c>
      <c r="D10" s="208" t="str">
        <f aca="false">Gov_Map!$E$241</f>
        <v>實測→生產效率折減</v>
      </c>
      <c r="E10" s="90" t="str">
        <f aca="false">Gov_Map!$F$241</f>
        <v>Assumed</v>
      </c>
      <c r="F10" s="90" t="n">
        <f aca="false">Gov_Map!$K$241</f>
        <v>0.7</v>
      </c>
      <c r="G10" s="90" t="n">
        <f aca="false">Gov_Map!$L$241</f>
        <v>1</v>
      </c>
      <c r="H10" s="90" t="str">
        <f aca="false">Gov_Map!$P$241</f>
        <v>高</v>
      </c>
      <c r="I10" s="90" t="str">
        <f aca="false">Gov_Map!$T$241</f>
        <v>—</v>
      </c>
      <c r="J10" s="85" t="s">
        <v>3352</v>
      </c>
      <c r="K10" s="208" t="str">
        <f aca="false">IF(Gov_Map!$AK$241="","—",Gov_Map!$AK$241)</f>
        <v>—</v>
      </c>
      <c r="L10" s="90" t="str">
        <f aca="false">IF(ISNUMBER(Gov_Map!$AF$241),INDEX(IDX_SrcDate,Gov_Map!$AF$241),"—")</f>
        <v>—</v>
      </c>
      <c r="M10" s="91" t="s">
        <v>3359</v>
      </c>
      <c r="N10" s="109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93.25" hidden="false" customHeight="false" outlineLevel="0" collapsed="false">
      <c r="A11" s="90" t="str">
        <f aca="false">Gov_Map!$A$249</f>
        <v>GM245</v>
      </c>
      <c r="B11" s="90" t="str">
        <f aca="false">Gov_Map!$C$249</f>
        <v>Serving</v>
      </c>
      <c r="C11" s="90" t="str">
        <f aca="false">Gov_Map!$D$249</f>
        <v>C23</v>
      </c>
      <c r="D11" s="208" t="str">
        <f aca="false">Gov_Map!$E$249</f>
        <v>參考 ISL（每次請求輸入）</v>
      </c>
      <c r="E11" s="90" t="str">
        <f aca="false">Gov_Map!$F$249</f>
        <v>Assumed</v>
      </c>
      <c r="F11" s="90" t="n">
        <f aca="false">Gov_Map!$K$249</f>
        <v>4096</v>
      </c>
      <c r="G11" s="90" t="n">
        <f aca="false">Gov_Map!$L$249</f>
        <v>16384</v>
      </c>
      <c r="H11" s="90" t="str">
        <f aca="false">Gov_Map!$P$249</f>
        <v>高</v>
      </c>
      <c r="I11" s="90" t="str">
        <f aca="false">Gov_Map!$T$249</f>
        <v>—</v>
      </c>
      <c r="J11" s="85" t="s">
        <v>3360</v>
      </c>
      <c r="K11" s="208" t="str">
        <f aca="false">IF(Gov_Map!$AK$249="","—",Gov_Map!$AK$249)</f>
        <v>—</v>
      </c>
      <c r="L11" s="90" t="str">
        <f aca="false">IF(ISNUMBER(Gov_Map!$AF$249),INDEX(IDX_SrcDate,Gov_Map!$AF$249),"—")</f>
        <v>—</v>
      </c>
      <c r="M11" s="91" t="s">
        <v>3361</v>
      </c>
      <c r="N11" s="109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93.25" hidden="false" customHeight="false" outlineLevel="0" collapsed="false">
      <c r="A12" s="90" t="str">
        <f aca="false">Gov_Map!$A$250</f>
        <v>GM246</v>
      </c>
      <c r="B12" s="90" t="str">
        <f aca="false">Gov_Map!$C$250</f>
        <v>Serving</v>
      </c>
      <c r="C12" s="90" t="str">
        <f aca="false">Gov_Map!$D$250</f>
        <v>D23</v>
      </c>
      <c r="D12" s="208" t="str">
        <f aca="false">Gov_Map!$E$250</f>
        <v>參考 ISL（每次請求輸入）</v>
      </c>
      <c r="E12" s="90" t="str">
        <f aca="false">Gov_Map!$F$250</f>
        <v>Assumed</v>
      </c>
      <c r="F12" s="90" t="n">
        <f aca="false">Gov_Map!$K$250</f>
        <v>8192</v>
      </c>
      <c r="G12" s="90" t="n">
        <f aca="false">Gov_Map!$L$250</f>
        <v>68000</v>
      </c>
      <c r="H12" s="90" t="str">
        <f aca="false">Gov_Map!$P$250</f>
        <v>高</v>
      </c>
      <c r="I12" s="90" t="str">
        <f aca="false">Gov_Map!$T$250</f>
        <v>—</v>
      </c>
      <c r="J12" s="85" t="s">
        <v>3360</v>
      </c>
      <c r="K12" s="208" t="str">
        <f aca="false">IF(Gov_Map!$AK$250="","—",Gov_Map!$AK$250)</f>
        <v>—</v>
      </c>
      <c r="L12" s="90" t="str">
        <f aca="false">IF(ISNUMBER(Gov_Map!$AF$250),INDEX(IDX_SrcDate,Gov_Map!$AF$250),"—")</f>
        <v>—</v>
      </c>
      <c r="M12" s="91" t="s">
        <v>3362</v>
      </c>
      <c r="N12" s="109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93.25" hidden="false" customHeight="false" outlineLevel="0" collapsed="false">
      <c r="A13" s="90" t="str">
        <f aca="false">Gov_Map!$A$251</f>
        <v>GM247</v>
      </c>
      <c r="B13" s="90" t="str">
        <f aca="false">Gov_Map!$C$251</f>
        <v>Serving</v>
      </c>
      <c r="C13" s="90" t="str">
        <f aca="false">Gov_Map!$D$251</f>
        <v>E23</v>
      </c>
      <c r="D13" s="208" t="str">
        <f aca="false">Gov_Map!$E$251</f>
        <v>參考 ISL（每次請求輸入）</v>
      </c>
      <c r="E13" s="90" t="str">
        <f aca="false">Gov_Map!$F$251</f>
        <v>Assumed</v>
      </c>
      <c r="F13" s="90" t="n">
        <f aca="false">Gov_Map!$K$251</f>
        <v>16384</v>
      </c>
      <c r="G13" s="90" t="n">
        <f aca="false">Gov_Map!$L$251</f>
        <v>68000</v>
      </c>
      <c r="H13" s="90" t="str">
        <f aca="false">Gov_Map!$P$251</f>
        <v>高</v>
      </c>
      <c r="I13" s="90" t="str">
        <f aca="false">Gov_Map!$T$251</f>
        <v>—</v>
      </c>
      <c r="J13" s="85" t="s">
        <v>3360</v>
      </c>
      <c r="K13" s="208" t="str">
        <f aca="false">IF(Gov_Map!$AK$251="","—",Gov_Map!$AK$251)</f>
        <v>—</v>
      </c>
      <c r="L13" s="90" t="str">
        <f aca="false">IF(ISNUMBER(Gov_Map!$AF$251),INDEX(IDX_SrcDate,Gov_Map!$AF$251),"—")</f>
        <v>—</v>
      </c>
      <c r="M13" s="91" t="s">
        <v>3363</v>
      </c>
      <c r="N13" s="109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93.25" hidden="false" customHeight="false" outlineLevel="0" collapsed="false">
      <c r="A14" s="90" t="str">
        <f aca="false">Gov_Map!$A$252</f>
        <v>GM248</v>
      </c>
      <c r="B14" s="90" t="str">
        <f aca="false">Gov_Map!$C$252</f>
        <v>Serving</v>
      </c>
      <c r="C14" s="90" t="str">
        <f aca="false">Gov_Map!$D$252</f>
        <v>C24</v>
      </c>
      <c r="D14" s="208" t="str">
        <f aca="false">Gov_Map!$E$252</f>
        <v>參考 OSL（含思考）</v>
      </c>
      <c r="E14" s="90" t="str">
        <f aca="false">Gov_Map!$F$252</f>
        <v>Assumed</v>
      </c>
      <c r="F14" s="90" t="n">
        <f aca="false">Gov_Map!$K$252</f>
        <v>400</v>
      </c>
      <c r="G14" s="90" t="n">
        <f aca="false">Gov_Map!$L$252</f>
        <v>2048</v>
      </c>
      <c r="H14" s="90" t="str">
        <f aca="false">Gov_Map!$P$252</f>
        <v>高</v>
      </c>
      <c r="I14" s="90" t="str">
        <f aca="false">Gov_Map!$T$252</f>
        <v>—</v>
      </c>
      <c r="J14" s="85" t="s">
        <v>3360</v>
      </c>
      <c r="K14" s="208" t="str">
        <f aca="false">IF(Gov_Map!$AK$252="","—",Gov_Map!$AK$252)</f>
        <v>—</v>
      </c>
      <c r="L14" s="90" t="str">
        <f aca="false">IF(ISNUMBER(Gov_Map!$AF$252),INDEX(IDX_SrcDate,Gov_Map!$AF$252),"—")</f>
        <v>—</v>
      </c>
      <c r="M14" s="91" t="s">
        <v>3364</v>
      </c>
      <c r="N14" s="109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93.25" hidden="false" customHeight="false" outlineLevel="0" collapsed="false">
      <c r="A15" s="90" t="str">
        <f aca="false">Gov_Map!$A$253</f>
        <v>GM249</v>
      </c>
      <c r="B15" s="90" t="str">
        <f aca="false">Gov_Map!$C$253</f>
        <v>Serving</v>
      </c>
      <c r="C15" s="90" t="str">
        <f aca="false">Gov_Map!$D$253</f>
        <v>D24</v>
      </c>
      <c r="D15" s="208" t="str">
        <f aca="false">Gov_Map!$E$253</f>
        <v>參考 OSL（含思考）</v>
      </c>
      <c r="E15" s="90" t="str">
        <f aca="false">Gov_Map!$F$253</f>
        <v>Assumed</v>
      </c>
      <c r="F15" s="90" t="n">
        <f aca="false">Gov_Map!$K$253</f>
        <v>1024</v>
      </c>
      <c r="G15" s="90" t="n">
        <f aca="false">Gov_Map!$L$253</f>
        <v>4096</v>
      </c>
      <c r="H15" s="90" t="str">
        <f aca="false">Gov_Map!$P$253</f>
        <v>高</v>
      </c>
      <c r="I15" s="90" t="str">
        <f aca="false">Gov_Map!$T$253</f>
        <v>—</v>
      </c>
      <c r="J15" s="85" t="s">
        <v>3360</v>
      </c>
      <c r="K15" s="208" t="str">
        <f aca="false">IF(Gov_Map!$AK$253="","—",Gov_Map!$AK$253)</f>
        <v>—</v>
      </c>
      <c r="L15" s="90" t="str">
        <f aca="false">IF(ISNUMBER(Gov_Map!$AF$253),INDEX(IDX_SrcDate,Gov_Map!$AF$253),"—")</f>
        <v>—</v>
      </c>
      <c r="M15" s="91" t="s">
        <v>3365</v>
      </c>
      <c r="N15" s="109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93.25" hidden="false" customHeight="false" outlineLevel="0" collapsed="false">
      <c r="A16" s="90" t="str">
        <f aca="false">Gov_Map!$A$254</f>
        <v>GM250</v>
      </c>
      <c r="B16" s="90" t="str">
        <f aca="false">Gov_Map!$C$254</f>
        <v>Serving</v>
      </c>
      <c r="C16" s="90" t="str">
        <f aca="false">Gov_Map!$D$254</f>
        <v>E24</v>
      </c>
      <c r="D16" s="208" t="str">
        <f aca="false">Gov_Map!$E$254</f>
        <v>參考 OSL（含思考）</v>
      </c>
      <c r="E16" s="90" t="str">
        <f aca="false">Gov_Map!$F$254</f>
        <v>Assumed</v>
      </c>
      <c r="F16" s="90" t="n">
        <f aca="false">Gov_Map!$K$254</f>
        <v>2048</v>
      </c>
      <c r="G16" s="90" t="n">
        <f aca="false">Gov_Map!$L$254</f>
        <v>8192</v>
      </c>
      <c r="H16" s="90" t="str">
        <f aca="false">Gov_Map!$P$254</f>
        <v>高</v>
      </c>
      <c r="I16" s="90" t="str">
        <f aca="false">Gov_Map!$T$254</f>
        <v>—</v>
      </c>
      <c r="J16" s="85" t="s">
        <v>3360</v>
      </c>
      <c r="K16" s="208" t="str">
        <f aca="false">IF(Gov_Map!$AK$254="","—",Gov_Map!$AK$254)</f>
        <v>—</v>
      </c>
      <c r="L16" s="90" t="str">
        <f aca="false">IF(ISNUMBER(Gov_Map!$AF$254),INDEX(IDX_SrcDate,Gov_Map!$AF$254),"—")</f>
        <v>—</v>
      </c>
      <c r="M16" s="91" t="s">
        <v>3366</v>
      </c>
      <c r="N16" s="109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0" t="str">
        <f aca="false">Gov_Map!$A$255</f>
        <v>GM251</v>
      </c>
      <c r="B17" s="90" t="str">
        <f aca="false">Gov_Map!$C$255</f>
        <v>Workload</v>
      </c>
      <c r="C17" s="90" t="str">
        <f aca="false">Gov_Map!$D$255</f>
        <v>C5</v>
      </c>
      <c r="D17" s="208" t="str">
        <f aca="false">Gov_Map!$E$255</f>
        <v>輪數 T</v>
      </c>
      <c r="E17" s="90" t="str">
        <f aca="false">Gov_Map!$F$255</f>
        <v>Assumed</v>
      </c>
      <c r="F17" s="90" t="n">
        <f aca="false">Gov_Map!$K$255</f>
        <v>1</v>
      </c>
      <c r="G17" s="90" t="n">
        <f aca="false">Gov_Map!$L$255</f>
        <v>2</v>
      </c>
      <c r="H17" s="90" t="str">
        <f aca="false">Gov_Map!$P$255</f>
        <v>高</v>
      </c>
      <c r="I17" s="90" t="str">
        <f aca="false">Gov_Map!$T$255</f>
        <v>—</v>
      </c>
      <c r="J17" s="85" t="s">
        <v>3367</v>
      </c>
      <c r="K17" s="208" t="str">
        <f aca="false">IF(Gov_Map!$AK$255="","—",Gov_Map!$AK$255)</f>
        <v>—</v>
      </c>
      <c r="L17" s="90" t="str">
        <f aca="false">IF(ISNUMBER(Gov_Map!$AF$255),INDEX(IDX_SrcDate,Gov_Map!$AF$255),"—")</f>
        <v>—</v>
      </c>
      <c r="M17" s="91" t="s">
        <v>3368</v>
      </c>
      <c r="N17" s="109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0" t="str">
        <f aca="false">Gov_Map!$A$256</f>
        <v>GM252</v>
      </c>
      <c r="B18" s="90" t="str">
        <f aca="false">Gov_Map!$C$256</f>
        <v>Workload</v>
      </c>
      <c r="C18" s="90" t="str">
        <f aca="false">Gov_Map!$D$256</f>
        <v>D5</v>
      </c>
      <c r="D18" s="208" t="str">
        <f aca="false">Gov_Map!$E$256</f>
        <v>輪數 T</v>
      </c>
      <c r="E18" s="90" t="str">
        <f aca="false">Gov_Map!$F$256</f>
        <v>Assumed</v>
      </c>
      <c r="F18" s="90" t="n">
        <f aca="false">Gov_Map!$K$256</f>
        <v>1</v>
      </c>
      <c r="G18" s="90" t="n">
        <f aca="false">Gov_Map!$L$256</f>
        <v>2</v>
      </c>
      <c r="H18" s="90" t="str">
        <f aca="false">Gov_Map!$P$256</f>
        <v>高</v>
      </c>
      <c r="I18" s="90" t="str">
        <f aca="false">Gov_Map!$T$256</f>
        <v>—</v>
      </c>
      <c r="J18" s="85" t="s">
        <v>3367</v>
      </c>
      <c r="K18" s="208" t="str">
        <f aca="false">IF(Gov_Map!$AK$256="","—",Gov_Map!$AK$256)</f>
        <v>—</v>
      </c>
      <c r="L18" s="90" t="str">
        <f aca="false">IF(ISNUMBER(Gov_Map!$AF$256),INDEX(IDX_SrcDate,Gov_Map!$AF$256),"—")</f>
        <v>—</v>
      </c>
      <c r="M18" s="91" t="s">
        <v>3369</v>
      </c>
      <c r="N18" s="109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0" t="str">
        <f aca="false">Gov_Map!$A$257</f>
        <v>GM253</v>
      </c>
      <c r="B19" s="90" t="str">
        <f aca="false">Gov_Map!$C$257</f>
        <v>Workload</v>
      </c>
      <c r="C19" s="90" t="str">
        <f aca="false">Gov_Map!$D$257</f>
        <v>E5</v>
      </c>
      <c r="D19" s="208" t="str">
        <f aca="false">Gov_Map!$E$257</f>
        <v>輪數 T</v>
      </c>
      <c r="E19" s="90" t="str">
        <f aca="false">Gov_Map!$F$257</f>
        <v>Assumed</v>
      </c>
      <c r="F19" s="90" t="n">
        <f aca="false">Gov_Map!$K$257</f>
        <v>2</v>
      </c>
      <c r="G19" s="90" t="n">
        <f aca="false">Gov_Map!$L$257</f>
        <v>8</v>
      </c>
      <c r="H19" s="90" t="str">
        <f aca="false">Gov_Map!$P$257</f>
        <v>高</v>
      </c>
      <c r="I19" s="90" t="str">
        <f aca="false">Gov_Map!$T$257</f>
        <v>—</v>
      </c>
      <c r="J19" s="85" t="s">
        <v>3367</v>
      </c>
      <c r="K19" s="208" t="str">
        <f aca="false">IF(Gov_Map!$AK$257="","—",Gov_Map!$AK$257)</f>
        <v>—</v>
      </c>
      <c r="L19" s="90" t="str">
        <f aca="false">IF(ISNUMBER(Gov_Map!$AF$257),INDEX(IDX_SrcDate,Gov_Map!$AF$257),"—")</f>
        <v>—</v>
      </c>
      <c r="M19" s="91" t="s">
        <v>3370</v>
      </c>
      <c r="N19" s="109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0" t="str">
        <f aca="false">Gov_Map!$A$258</f>
        <v>GM254</v>
      </c>
      <c r="B20" s="90" t="str">
        <f aca="false">Gov_Map!$C$258</f>
        <v>Workload</v>
      </c>
      <c r="C20" s="90" t="str">
        <f aca="false">Gov_Map!$D$258</f>
        <v>F5</v>
      </c>
      <c r="D20" s="208" t="str">
        <f aca="false">Gov_Map!$E$258</f>
        <v>輪數 T</v>
      </c>
      <c r="E20" s="90" t="str">
        <f aca="false">Gov_Map!$F$258</f>
        <v>Assumed</v>
      </c>
      <c r="F20" s="90" t="n">
        <f aca="false">Gov_Map!$K$258</f>
        <v>2</v>
      </c>
      <c r="G20" s="90" t="n">
        <f aca="false">Gov_Map!$L$258</f>
        <v>8</v>
      </c>
      <c r="H20" s="90" t="str">
        <f aca="false">Gov_Map!$P$258</f>
        <v>高</v>
      </c>
      <c r="I20" s="90" t="str">
        <f aca="false">Gov_Map!$T$258</f>
        <v>—</v>
      </c>
      <c r="J20" s="85" t="s">
        <v>3367</v>
      </c>
      <c r="K20" s="208" t="str">
        <f aca="false">IF(Gov_Map!$AK$258="","—",Gov_Map!$AK$258)</f>
        <v>—</v>
      </c>
      <c r="L20" s="90" t="str">
        <f aca="false">IF(ISNUMBER(Gov_Map!$AF$258),INDEX(IDX_SrcDate,Gov_Map!$AF$258),"—")</f>
        <v>—</v>
      </c>
      <c r="M20" s="91" t="s">
        <v>3371</v>
      </c>
      <c r="N20" s="109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0" t="str">
        <f aca="false">Gov_Map!$A$259</f>
        <v>GM255</v>
      </c>
      <c r="B21" s="90" t="str">
        <f aca="false">Gov_Map!$C$259</f>
        <v>Workload</v>
      </c>
      <c r="C21" s="90" t="str">
        <f aca="false">Gov_Map!$D$259</f>
        <v>G5</v>
      </c>
      <c r="D21" s="208" t="str">
        <f aca="false">Gov_Map!$E$259</f>
        <v>輪數 T</v>
      </c>
      <c r="E21" s="90" t="str">
        <f aca="false">Gov_Map!$F$259</f>
        <v>Assumed</v>
      </c>
      <c r="F21" s="90" t="n">
        <f aca="false">Gov_Map!$K$259</f>
        <v>15</v>
      </c>
      <c r="G21" s="90" t="n">
        <f aca="false">Gov_Map!$L$259</f>
        <v>60</v>
      </c>
      <c r="H21" s="90" t="str">
        <f aca="false">Gov_Map!$P$259</f>
        <v>高</v>
      </c>
      <c r="I21" s="90" t="str">
        <f aca="false">Gov_Map!$T$259</f>
        <v>—</v>
      </c>
      <c r="J21" s="85" t="s">
        <v>3367</v>
      </c>
      <c r="K21" s="208" t="str">
        <f aca="false">IF(Gov_Map!$AK$259="","—",Gov_Map!$AK$259)</f>
        <v>—</v>
      </c>
      <c r="L21" s="90" t="str">
        <f aca="false">IF(ISNUMBER(Gov_Map!$AF$259),INDEX(IDX_SrcDate,Gov_Map!$AF$259),"—")</f>
        <v>—</v>
      </c>
      <c r="M21" s="91" t="s">
        <v>3372</v>
      </c>
      <c r="N21" s="109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0" t="str">
        <f aca="false">Gov_Map!$A$274</f>
        <v>GM270</v>
      </c>
      <c r="B22" s="90" t="str">
        <f aca="false">Gov_Map!$C$274</f>
        <v>Workload</v>
      </c>
      <c r="C22" s="90" t="str">
        <f aca="false">Gov_Map!$D$274</f>
        <v>G8</v>
      </c>
      <c r="D22" s="208" t="str">
        <f aca="false">Gov_Map!$E$274</f>
        <v>每輪思考 token h</v>
      </c>
      <c r="E22" s="90" t="str">
        <f aca="false">Gov_Map!$F$274</f>
        <v>Assumed</v>
      </c>
      <c r="F22" s="90" t="n">
        <f aca="false">Gov_Map!$K$274</f>
        <v>300</v>
      </c>
      <c r="G22" s="90" t="n">
        <f aca="false">Gov_Map!$L$274</f>
        <v>1200</v>
      </c>
      <c r="H22" s="90" t="str">
        <f aca="false">Gov_Map!$P$274</f>
        <v>高</v>
      </c>
      <c r="I22" s="90" t="str">
        <f aca="false">Gov_Map!$T$274</f>
        <v>—</v>
      </c>
      <c r="J22" s="85" t="s">
        <v>3367</v>
      </c>
      <c r="K22" s="208" t="str">
        <f aca="false">IF(Gov_Map!$AK$274="","—",Gov_Map!$AK$274)</f>
        <v>—</v>
      </c>
      <c r="L22" s="90" t="str">
        <f aca="false">IF(ISNUMBER(Gov_Map!$AF$274),INDEX(IDX_SrcDate,Gov_Map!$AF$274),"—")</f>
        <v>—</v>
      </c>
      <c r="M22" s="91" t="s">
        <v>3373</v>
      </c>
      <c r="N22" s="109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0" t="str">
        <f aca="false">Gov_Map!$A$279</f>
        <v>GM275</v>
      </c>
      <c r="B23" s="90" t="str">
        <f aca="false">Gov_Map!$C$279</f>
        <v>Workload</v>
      </c>
      <c r="C23" s="90" t="str">
        <f aca="false">Gov_Map!$D$279</f>
        <v>G9</v>
      </c>
      <c r="D23" s="208" t="str">
        <f aca="false">Gov_Map!$E$279</f>
        <v>每輪可見輸出 o</v>
      </c>
      <c r="E23" s="90" t="str">
        <f aca="false">Gov_Map!$F$279</f>
        <v>Assumed</v>
      </c>
      <c r="F23" s="90" t="n">
        <f aca="false">Gov_Map!$K$279</f>
        <v>200</v>
      </c>
      <c r="G23" s="90" t="n">
        <f aca="false">Gov_Map!$L$279</f>
        <v>800</v>
      </c>
      <c r="H23" s="90" t="str">
        <f aca="false">Gov_Map!$P$279</f>
        <v>高</v>
      </c>
      <c r="I23" s="90" t="str">
        <f aca="false">Gov_Map!$T$279</f>
        <v>—</v>
      </c>
      <c r="J23" s="85" t="s">
        <v>3367</v>
      </c>
      <c r="K23" s="208" t="str">
        <f aca="false">IF(Gov_Map!$AK$279="","—",Gov_Map!$AK$279)</f>
        <v>—</v>
      </c>
      <c r="L23" s="90" t="str">
        <f aca="false">IF(ISNUMBER(Gov_Map!$AF$279),INDEX(IDX_SrcDate,Gov_Map!$AF$279),"—")</f>
        <v>—</v>
      </c>
      <c r="M23" s="91" t="s">
        <v>3374</v>
      </c>
      <c r="N23" s="109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0" t="str">
        <f aca="false">Gov_Map!$A$285</f>
        <v>GM281</v>
      </c>
      <c r="B24" s="90" t="str">
        <f aca="false">Gov_Map!$C$285</f>
        <v>Workload</v>
      </c>
      <c r="C24" s="90" t="str">
        <f aca="false">Gov_Map!$D$285</f>
        <v>C11</v>
      </c>
      <c r="D24" s="208" t="str">
        <f aca="false">Gov_Map!$E$285</f>
        <v>歷史快取命中率 χ</v>
      </c>
      <c r="E24" s="90" t="str">
        <f aca="false">Gov_Map!$F$285</f>
        <v>Assumed</v>
      </c>
      <c r="F24" s="90" t="n">
        <f aca="false">Gov_Map!$K$285</f>
        <v>0.3</v>
      </c>
      <c r="G24" s="90" t="n">
        <f aca="false">Gov_Map!$L$285</f>
        <v>0.7</v>
      </c>
      <c r="H24" s="90" t="str">
        <f aca="false">Gov_Map!$P$285</f>
        <v>高</v>
      </c>
      <c r="I24" s="90" t="str">
        <f aca="false">Gov_Map!$T$285</f>
        <v>—</v>
      </c>
      <c r="J24" s="85" t="s">
        <v>3367</v>
      </c>
      <c r="K24" s="208" t="str">
        <f aca="false">IF(Gov_Map!$AK$285="","—",Gov_Map!$AK$285)</f>
        <v>—</v>
      </c>
      <c r="L24" s="90" t="str">
        <f aca="false">IF(ISNUMBER(Gov_Map!$AF$285),INDEX(IDX_SrcDate,Gov_Map!$AF$285),"—")</f>
        <v>—</v>
      </c>
      <c r="M24" s="91" t="s">
        <v>3375</v>
      </c>
      <c r="N24" s="109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0" t="str">
        <f aca="false">Gov_Map!$A$286</f>
        <v>GM282</v>
      </c>
      <c r="B25" s="90" t="str">
        <f aca="false">Gov_Map!$C$286</f>
        <v>Workload</v>
      </c>
      <c r="C25" s="90" t="str">
        <f aca="false">Gov_Map!$D$286</f>
        <v>D11</v>
      </c>
      <c r="D25" s="208" t="str">
        <f aca="false">Gov_Map!$E$286</f>
        <v>歷史快取命中率 χ</v>
      </c>
      <c r="E25" s="90" t="str">
        <f aca="false">Gov_Map!$F$286</f>
        <v>Assumed</v>
      </c>
      <c r="F25" s="90" t="n">
        <f aca="false">Gov_Map!$K$286</f>
        <v>0.3</v>
      </c>
      <c r="G25" s="90" t="n">
        <f aca="false">Gov_Map!$L$286</f>
        <v>0.7</v>
      </c>
      <c r="H25" s="90" t="str">
        <f aca="false">Gov_Map!$P$286</f>
        <v>高</v>
      </c>
      <c r="I25" s="90" t="str">
        <f aca="false">Gov_Map!$T$286</f>
        <v>—</v>
      </c>
      <c r="J25" s="85" t="s">
        <v>3367</v>
      </c>
      <c r="K25" s="208" t="str">
        <f aca="false">IF(Gov_Map!$AK$286="","—",Gov_Map!$AK$286)</f>
        <v>—</v>
      </c>
      <c r="L25" s="90" t="str">
        <f aca="false">IF(ISNUMBER(Gov_Map!$AF$286),INDEX(IDX_SrcDate,Gov_Map!$AF$286),"—")</f>
        <v>—</v>
      </c>
      <c r="M25" s="91" t="s">
        <v>3376</v>
      </c>
      <c r="N25" s="109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0" t="str">
        <f aca="false">Gov_Map!$A$287</f>
        <v>GM283</v>
      </c>
      <c r="B26" s="90" t="str">
        <f aca="false">Gov_Map!$C$287</f>
        <v>Workload</v>
      </c>
      <c r="C26" s="90" t="str">
        <f aca="false">Gov_Map!$D$287</f>
        <v>E11</v>
      </c>
      <c r="D26" s="208" t="str">
        <f aca="false">Gov_Map!$E$287</f>
        <v>歷史快取命中率 χ</v>
      </c>
      <c r="E26" s="90" t="str">
        <f aca="false">Gov_Map!$F$287</f>
        <v>Assumed</v>
      </c>
      <c r="F26" s="90" t="n">
        <f aca="false">Gov_Map!$K$287</f>
        <v>0.7</v>
      </c>
      <c r="G26" s="90" t="n">
        <f aca="false">Gov_Map!$L$287</f>
        <v>0.95</v>
      </c>
      <c r="H26" s="90" t="str">
        <f aca="false">Gov_Map!$P$287</f>
        <v>高</v>
      </c>
      <c r="I26" s="90" t="str">
        <f aca="false">Gov_Map!$T$287</f>
        <v>—</v>
      </c>
      <c r="J26" s="85" t="s">
        <v>3367</v>
      </c>
      <c r="K26" s="208" t="str">
        <f aca="false">IF(Gov_Map!$AK$287="","—",Gov_Map!$AK$287)</f>
        <v>—</v>
      </c>
      <c r="L26" s="90" t="str">
        <f aca="false">IF(ISNUMBER(Gov_Map!$AF$287),INDEX(IDX_SrcDate,Gov_Map!$AF$287),"—")</f>
        <v>—</v>
      </c>
      <c r="M26" s="91" t="s">
        <v>3377</v>
      </c>
      <c r="N26" s="109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0" t="str">
        <f aca="false">Gov_Map!$A$288</f>
        <v>GM284</v>
      </c>
      <c r="B27" s="90" t="str">
        <f aca="false">Gov_Map!$C$288</f>
        <v>Workload</v>
      </c>
      <c r="C27" s="90" t="str">
        <f aca="false">Gov_Map!$D$288</f>
        <v>F11</v>
      </c>
      <c r="D27" s="208" t="str">
        <f aca="false">Gov_Map!$E$288</f>
        <v>歷史快取命中率 χ</v>
      </c>
      <c r="E27" s="90" t="str">
        <f aca="false">Gov_Map!$F$288</f>
        <v>Assumed</v>
      </c>
      <c r="F27" s="90" t="n">
        <f aca="false">Gov_Map!$K$288</f>
        <v>0.7</v>
      </c>
      <c r="G27" s="90" t="n">
        <f aca="false">Gov_Map!$L$288</f>
        <v>0.95</v>
      </c>
      <c r="H27" s="90" t="str">
        <f aca="false">Gov_Map!$P$288</f>
        <v>高</v>
      </c>
      <c r="I27" s="90" t="str">
        <f aca="false">Gov_Map!$T$288</f>
        <v>—</v>
      </c>
      <c r="J27" s="85" t="s">
        <v>3367</v>
      </c>
      <c r="K27" s="208" t="str">
        <f aca="false">IF(Gov_Map!$AK$288="","—",Gov_Map!$AK$288)</f>
        <v>—</v>
      </c>
      <c r="L27" s="90" t="str">
        <f aca="false">IF(ISNUMBER(Gov_Map!$AF$288),INDEX(IDX_SrcDate,Gov_Map!$AF$288),"—")</f>
        <v>—</v>
      </c>
      <c r="M27" s="91" t="s">
        <v>3378</v>
      </c>
      <c r="N27" s="109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0" t="str">
        <f aca="false">Gov_Map!$A$289</f>
        <v>GM285</v>
      </c>
      <c r="B28" s="90" t="str">
        <f aca="false">Gov_Map!$C$289</f>
        <v>Workload</v>
      </c>
      <c r="C28" s="90" t="str">
        <f aca="false">Gov_Map!$D$289</f>
        <v>G11</v>
      </c>
      <c r="D28" s="208" t="str">
        <f aca="false">Gov_Map!$E$289</f>
        <v>歷史快取命中率 χ</v>
      </c>
      <c r="E28" s="90" t="str">
        <f aca="false">Gov_Map!$F$289</f>
        <v>Assumed</v>
      </c>
      <c r="F28" s="90" t="n">
        <f aca="false">Gov_Map!$K$289</f>
        <v>0.7</v>
      </c>
      <c r="G28" s="90" t="n">
        <f aca="false">Gov_Map!$L$289</f>
        <v>0.95</v>
      </c>
      <c r="H28" s="90" t="str">
        <f aca="false">Gov_Map!$P$289</f>
        <v>高</v>
      </c>
      <c r="I28" s="90" t="str">
        <f aca="false">Gov_Map!$T$289</f>
        <v>—</v>
      </c>
      <c r="J28" s="85" t="s">
        <v>3367</v>
      </c>
      <c r="K28" s="208" t="str">
        <f aca="false">IF(Gov_Map!$AK$289="","—",Gov_Map!$AK$289)</f>
        <v>—</v>
      </c>
      <c r="L28" s="90" t="str">
        <f aca="false">IF(ISNUMBER(Gov_Map!$AF$289),INDEX(IDX_SrcDate,Gov_Map!$AF$289),"—")</f>
        <v>—</v>
      </c>
      <c r="M28" s="91" t="s">
        <v>3379</v>
      </c>
      <c r="N28" s="109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0" t="str">
        <f aca="false">Gov_Map!$A$294</f>
        <v>GM290</v>
      </c>
      <c r="B29" s="90" t="str">
        <f aca="false">Gov_Map!$C$294</f>
        <v>Workload</v>
      </c>
      <c r="C29" s="90" t="str">
        <f aca="false">Gov_Map!$D$294</f>
        <v>G12</v>
      </c>
      <c r="D29" s="208" t="str">
        <f aca="false">Gov_Map!$E$294</f>
        <v>並行子代理數 m</v>
      </c>
      <c r="E29" s="90" t="str">
        <f aca="false">Gov_Map!$F$294</f>
        <v>Assumed</v>
      </c>
      <c r="F29" s="90" t="n">
        <f aca="false">Gov_Map!$K$294</f>
        <v>0</v>
      </c>
      <c r="G29" s="90" t="n">
        <f aca="false">Gov_Map!$L$294</f>
        <v>1</v>
      </c>
      <c r="H29" s="90" t="str">
        <f aca="false">Gov_Map!$P$294</f>
        <v>高</v>
      </c>
      <c r="I29" s="90" t="str">
        <f aca="false">Gov_Map!$T$294</f>
        <v>—</v>
      </c>
      <c r="J29" s="85" t="s">
        <v>3367</v>
      </c>
      <c r="K29" s="208" t="str">
        <f aca="false">IF(Gov_Map!$AK$294="","—",Gov_Map!$AK$294)</f>
        <v>—</v>
      </c>
      <c r="L29" s="90" t="str">
        <f aca="false">IF(ISNUMBER(Gov_Map!$AF$294),INDEX(IDX_SrcDate,Gov_Map!$AF$294),"—")</f>
        <v>—</v>
      </c>
      <c r="M29" s="91" t="s">
        <v>3380</v>
      </c>
      <c r="N29" s="109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80.55" hidden="false" customHeight="false" outlineLevel="0" collapsed="false">
      <c r="A30" s="90" t="str">
        <f aca="false">Gov_Map!$A$308</f>
        <v>GM304</v>
      </c>
      <c r="B30" s="90" t="str">
        <f aca="false">Gov_Map!$C$308</f>
        <v>Calib</v>
      </c>
      <c r="C30" s="90" t="str">
        <f aca="false">Gov_Map!$D$308</f>
        <v>C5</v>
      </c>
      <c r="D30" s="208" t="str">
        <f aca="false">Gov_Map!$E$308</f>
        <v>η_p：prefill 達成峰值比例</v>
      </c>
      <c r="E30" s="90" t="str">
        <f aca="false">Gov_Map!$F$308</f>
        <v>Analogy</v>
      </c>
      <c r="F30" s="90" t="n">
        <f aca="false">Gov_Map!$K$308</f>
        <v>0.15</v>
      </c>
      <c r="G30" s="90" t="n">
        <f aca="false">Gov_Map!$L$308</f>
        <v>0.45</v>
      </c>
      <c r="H30" s="90" t="str">
        <f aca="false">Gov_Map!$P$308</f>
        <v>高</v>
      </c>
      <c r="I30" s="90" t="n">
        <f aca="false">Gov_Map!$T$308</f>
        <v>1</v>
      </c>
      <c r="J30" s="85" t="s">
        <v>3352</v>
      </c>
      <c r="K30" s="208" t="str">
        <f aca="false">IF(Gov_Map!$AK$308="","—",Gov_Map!$AK$308)</f>
        <v>—</v>
      </c>
      <c r="L30" s="90" t="str">
        <f aca="false">IF(ISNUMBER(Gov_Map!$AF$308),INDEX(IDX_SrcDate,Gov_Map!$AF$308),"—")</f>
        <v>—</v>
      </c>
      <c r="M30" s="91" t="s">
        <v>3381</v>
      </c>
      <c r="N30" s="109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80.55" hidden="false" customHeight="false" outlineLevel="0" collapsed="false">
      <c r="A31" s="90" t="str">
        <f aca="false">Gov_Map!$A$345</f>
        <v>GM341</v>
      </c>
      <c r="B31" s="90" t="str">
        <f aca="false">Gov_Map!$C$345</f>
        <v>Calib</v>
      </c>
      <c r="C31" s="90" t="str">
        <f aca="false">Gov_Map!$D$345</f>
        <v>C67</v>
      </c>
      <c r="D31" s="208" t="str">
        <f aca="false">Gov_Map!$E$345</f>
        <v>η_d 倍數</v>
      </c>
      <c r="E31" s="90" t="str">
        <f aca="false">Gov_Map!$F$345</f>
        <v>Analogy</v>
      </c>
      <c r="F31" s="90" t="n">
        <f aca="false">Gov_Map!$K$345</f>
        <v>0.5</v>
      </c>
      <c r="G31" s="90" t="n">
        <f aca="false">Gov_Map!$L$345</f>
        <v>2.5</v>
      </c>
      <c r="H31" s="90" t="str">
        <f aca="false">Gov_Map!$P$345</f>
        <v>高</v>
      </c>
      <c r="I31" s="90" t="n">
        <f aca="false">Gov_Map!$T$345</f>
        <v>1</v>
      </c>
      <c r="J31" s="85" t="s">
        <v>3352</v>
      </c>
      <c r="K31" s="208" t="str">
        <f aca="false">IF(Gov_Map!$AK$345="","—",Gov_Map!$AK$345)</f>
        <v>—</v>
      </c>
      <c r="L31" s="90" t="str">
        <f aca="false">IF(ISNUMBER(Gov_Map!$AF$345),INDEX(IDX_SrcDate,Gov_Map!$AF$345),"—")</f>
        <v>—</v>
      </c>
      <c r="M31" s="91" t="s">
        <v>3382</v>
      </c>
      <c r="N31" s="109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80.55" hidden="false" customHeight="false" outlineLevel="0" collapsed="false">
      <c r="A32" s="90" t="str">
        <f aca="false">Gov_Map!$A$346</f>
        <v>GM342</v>
      </c>
      <c r="B32" s="90" t="str">
        <f aca="false">Gov_Map!$C$346</f>
        <v>Calib</v>
      </c>
      <c r="C32" s="90" t="str">
        <f aca="false">Gov_Map!$D$346</f>
        <v>D67</v>
      </c>
      <c r="D32" s="208" t="str">
        <f aca="false">Gov_Map!$E$346</f>
        <v>η_d 倍數</v>
      </c>
      <c r="E32" s="90" t="str">
        <f aca="false">Gov_Map!$F$346</f>
        <v>Analogy</v>
      </c>
      <c r="F32" s="90" t="n">
        <f aca="false">Gov_Map!$K$346</f>
        <v>0.5</v>
      </c>
      <c r="G32" s="90" t="n">
        <f aca="false">Gov_Map!$L$346</f>
        <v>1.5</v>
      </c>
      <c r="H32" s="90" t="str">
        <f aca="false">Gov_Map!$P$346</f>
        <v>高</v>
      </c>
      <c r="I32" s="90" t="n">
        <f aca="false">Gov_Map!$T$346</f>
        <v>2</v>
      </c>
      <c r="J32" s="85" t="s">
        <v>3352</v>
      </c>
      <c r="K32" s="208" t="str">
        <f aca="false">IF(Gov_Map!$AK$346="","—",Gov_Map!$AK$346)</f>
        <v>—</v>
      </c>
      <c r="L32" s="90" t="str">
        <f aca="false">IF(ISNUMBER(Gov_Map!$AF$346),INDEX(IDX_SrcDate,Gov_Map!$AF$346),"—")</f>
        <v>2026-10-05</v>
      </c>
      <c r="M32" s="91" t="s">
        <v>3383</v>
      </c>
      <c r="N32" s="109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80.55" hidden="false" customHeight="false" outlineLevel="0" collapsed="false">
      <c r="A33" s="90" t="str">
        <f aca="false">Gov_Map!$A$347</f>
        <v>GM343</v>
      </c>
      <c r="B33" s="90" t="str">
        <f aca="false">Gov_Map!$C$347</f>
        <v>Calib</v>
      </c>
      <c r="C33" s="90" t="str">
        <f aca="false">Gov_Map!$D$347</f>
        <v>E67</v>
      </c>
      <c r="D33" s="208" t="str">
        <f aca="false">Gov_Map!$E$347</f>
        <v>η_d 倍數</v>
      </c>
      <c r="E33" s="90" t="str">
        <f aca="false">Gov_Map!$F$347</f>
        <v>Analogy</v>
      </c>
      <c r="F33" s="90" t="n">
        <f aca="false">Gov_Map!$K$347</f>
        <v>0.5</v>
      </c>
      <c r="G33" s="90" t="n">
        <f aca="false">Gov_Map!$L$347</f>
        <v>1.5</v>
      </c>
      <c r="H33" s="90" t="str">
        <f aca="false">Gov_Map!$P$347</f>
        <v>高</v>
      </c>
      <c r="I33" s="90" t="n">
        <f aca="false">Gov_Map!$T$347</f>
        <v>2</v>
      </c>
      <c r="J33" s="85" t="s">
        <v>3352</v>
      </c>
      <c r="K33" s="208" t="str">
        <f aca="false">IF(Gov_Map!$AK$347="","—",Gov_Map!$AK$347)</f>
        <v>—</v>
      </c>
      <c r="L33" s="90" t="str">
        <f aca="false">IF(ISNUMBER(Gov_Map!$AF$347),INDEX(IDX_SrcDate,Gov_Map!$AF$347),"—")</f>
        <v>2026-10-05</v>
      </c>
      <c r="M33" s="91" t="s">
        <v>3384</v>
      </c>
      <c r="N33" s="109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80.55" hidden="false" customHeight="false" outlineLevel="0" collapsed="false">
      <c r="A34" s="90" t="str">
        <f aca="false">Gov_Map!$A$348</f>
        <v>GM344</v>
      </c>
      <c r="B34" s="90" t="str">
        <f aca="false">Gov_Map!$C$348</f>
        <v>Calib</v>
      </c>
      <c r="C34" s="90" t="str">
        <f aca="false">Gov_Map!$D$348</f>
        <v>F67</v>
      </c>
      <c r="D34" s="208" t="str">
        <f aca="false">Gov_Map!$E$348</f>
        <v>η_d 倍數</v>
      </c>
      <c r="E34" s="90" t="str">
        <f aca="false">Gov_Map!$F$348</f>
        <v>Analogy</v>
      </c>
      <c r="F34" s="90" t="n">
        <f aca="false">Gov_Map!$K$348</f>
        <v>0.5</v>
      </c>
      <c r="G34" s="90" t="n">
        <f aca="false">Gov_Map!$L$348</f>
        <v>1.5</v>
      </c>
      <c r="H34" s="90" t="str">
        <f aca="false">Gov_Map!$P$348</f>
        <v>高</v>
      </c>
      <c r="I34" s="90" t="n">
        <f aca="false">Gov_Map!$T$348</f>
        <v>2</v>
      </c>
      <c r="J34" s="85" t="s">
        <v>3352</v>
      </c>
      <c r="K34" s="208" t="str">
        <f aca="false">IF(Gov_Map!$AK$348="","—",Gov_Map!$AK$348)</f>
        <v>—</v>
      </c>
      <c r="L34" s="90" t="str">
        <f aca="false">IF(ISNUMBER(Gov_Map!$AF$348),INDEX(IDX_SrcDate,Gov_Map!$AF$348),"—")</f>
        <v>2026-10-05</v>
      </c>
      <c r="M34" s="91" t="s">
        <v>3385</v>
      </c>
      <c r="N34" s="109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80.55" hidden="false" customHeight="false" outlineLevel="0" collapsed="false">
      <c r="A35" s="90" t="str">
        <f aca="false">Gov_Map!$A$349</f>
        <v>GM345</v>
      </c>
      <c r="B35" s="90" t="str">
        <f aca="false">Gov_Map!$C$349</f>
        <v>Calib</v>
      </c>
      <c r="C35" s="90" t="str">
        <f aca="false">Gov_Map!$D$349</f>
        <v>G67</v>
      </c>
      <c r="D35" s="208" t="str">
        <f aca="false">Gov_Map!$E$349</f>
        <v>η_d 倍數</v>
      </c>
      <c r="E35" s="90" t="str">
        <f aca="false">Gov_Map!$F$349</f>
        <v>Analogy</v>
      </c>
      <c r="F35" s="90" t="n">
        <f aca="false">Gov_Map!$K$349</f>
        <v>0.5</v>
      </c>
      <c r="G35" s="90" t="n">
        <f aca="false">Gov_Map!$L$349</f>
        <v>1.5</v>
      </c>
      <c r="H35" s="90" t="str">
        <f aca="false">Gov_Map!$P$349</f>
        <v>高</v>
      </c>
      <c r="I35" s="90" t="n">
        <f aca="false">Gov_Map!$T$349</f>
        <v>2</v>
      </c>
      <c r="J35" s="85" t="s">
        <v>3352</v>
      </c>
      <c r="K35" s="208" t="str">
        <f aca="false">IF(Gov_Map!$AK$349="","—",Gov_Map!$AK$349)</f>
        <v>—</v>
      </c>
      <c r="L35" s="90" t="str">
        <f aca="false">IF(ISNUMBER(Gov_Map!$AF$349),INDEX(IDX_SrcDate,Gov_Map!$AF$349),"—")</f>
        <v>2026-10-05</v>
      </c>
      <c r="M35" s="91" t="s">
        <v>3386</v>
      </c>
      <c r="N35" s="109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80.55" hidden="false" customHeight="false" outlineLevel="0" collapsed="false">
      <c r="A36" s="90" t="str">
        <f aca="false">Gov_Map!$A$350</f>
        <v>GM346</v>
      </c>
      <c r="B36" s="90" t="str">
        <f aca="false">Gov_Map!$C$350</f>
        <v>Calib</v>
      </c>
      <c r="C36" s="90" t="str">
        <f aca="false">Gov_Map!$D$350</f>
        <v>C68</v>
      </c>
      <c r="D36" s="208" t="str">
        <f aca="false">Gov_Map!$E$350</f>
        <v>每層延遲倍數</v>
      </c>
      <c r="E36" s="90" t="str">
        <f aca="false">Gov_Map!$F$350</f>
        <v>Assumed</v>
      </c>
      <c r="F36" s="90" t="n">
        <f aca="false">Gov_Map!$K$350</f>
        <v>1</v>
      </c>
      <c r="G36" s="90" t="n">
        <f aca="false">Gov_Map!$L$350</f>
        <v>3</v>
      </c>
      <c r="H36" s="90" t="str">
        <f aca="false">Gov_Map!$P$350</f>
        <v>高</v>
      </c>
      <c r="I36" s="90" t="str">
        <f aca="false">Gov_Map!$T$350</f>
        <v>—</v>
      </c>
      <c r="J36" s="85" t="s">
        <v>3352</v>
      </c>
      <c r="K36" s="208" t="str">
        <f aca="false">IF(Gov_Map!$AK$350="","—",Gov_Map!$AK$350)</f>
        <v>—</v>
      </c>
      <c r="L36" s="90" t="str">
        <f aca="false">IF(ISNUMBER(Gov_Map!$AF$350),INDEX(IDX_SrcDate,Gov_Map!$AF$350),"—")</f>
        <v>—</v>
      </c>
      <c r="M36" s="91" t="s">
        <v>3387</v>
      </c>
      <c r="N36" s="109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80.55" hidden="false" customHeight="false" outlineLevel="0" collapsed="false">
      <c r="A37" s="90" t="str">
        <f aca="false">Gov_Map!$A$351</f>
        <v>GM347</v>
      </c>
      <c r="B37" s="90" t="str">
        <f aca="false">Gov_Map!$C$351</f>
        <v>Calib</v>
      </c>
      <c r="C37" s="90" t="str">
        <f aca="false">Gov_Map!$D$351</f>
        <v>D68</v>
      </c>
      <c r="D37" s="208" t="str">
        <f aca="false">Gov_Map!$E$351</f>
        <v>每層延遲倍數</v>
      </c>
      <c r="E37" s="90" t="str">
        <f aca="false">Gov_Map!$F$351</f>
        <v>Assumed</v>
      </c>
      <c r="F37" s="90" t="n">
        <f aca="false">Gov_Map!$K$351</f>
        <v>1</v>
      </c>
      <c r="G37" s="90" t="n">
        <f aca="false">Gov_Map!$L$351</f>
        <v>1.5</v>
      </c>
      <c r="H37" s="90" t="str">
        <f aca="false">Gov_Map!$P$351</f>
        <v>高</v>
      </c>
      <c r="I37" s="90" t="str">
        <f aca="false">Gov_Map!$T$351</f>
        <v>—</v>
      </c>
      <c r="J37" s="85" t="s">
        <v>3352</v>
      </c>
      <c r="K37" s="208" t="str">
        <f aca="false">IF(Gov_Map!$AK$351="","—",Gov_Map!$AK$351)</f>
        <v>—</v>
      </c>
      <c r="L37" s="90" t="str">
        <f aca="false">IF(ISNUMBER(Gov_Map!$AF$351),INDEX(IDX_SrcDate,Gov_Map!$AF$351),"—")</f>
        <v>—</v>
      </c>
      <c r="M37" s="91" t="s">
        <v>3388</v>
      </c>
      <c r="N37" s="109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80.55" hidden="false" customHeight="false" outlineLevel="0" collapsed="false">
      <c r="A38" s="90" t="str">
        <f aca="false">Gov_Map!$A$352</f>
        <v>GM348</v>
      </c>
      <c r="B38" s="90" t="str">
        <f aca="false">Gov_Map!$C$352</f>
        <v>Calib</v>
      </c>
      <c r="C38" s="90" t="str">
        <f aca="false">Gov_Map!$D$352</f>
        <v>E68</v>
      </c>
      <c r="D38" s="208" t="str">
        <f aca="false">Gov_Map!$E$352</f>
        <v>每層延遲倍數</v>
      </c>
      <c r="E38" s="90" t="str">
        <f aca="false">Gov_Map!$F$352</f>
        <v>Assumed</v>
      </c>
      <c r="F38" s="90" t="n">
        <f aca="false">Gov_Map!$K$352</f>
        <v>1</v>
      </c>
      <c r="G38" s="90" t="n">
        <f aca="false">Gov_Map!$L$352</f>
        <v>1.5</v>
      </c>
      <c r="H38" s="90" t="str">
        <f aca="false">Gov_Map!$P$352</f>
        <v>高</v>
      </c>
      <c r="I38" s="90" t="str">
        <f aca="false">Gov_Map!$T$352</f>
        <v>—</v>
      </c>
      <c r="J38" s="85" t="s">
        <v>3352</v>
      </c>
      <c r="K38" s="208" t="str">
        <f aca="false">IF(Gov_Map!$AK$352="","—",Gov_Map!$AK$352)</f>
        <v>—</v>
      </c>
      <c r="L38" s="90" t="str">
        <f aca="false">IF(ISNUMBER(Gov_Map!$AF$352),INDEX(IDX_SrcDate,Gov_Map!$AF$352),"—")</f>
        <v>—</v>
      </c>
      <c r="M38" s="91" t="s">
        <v>3389</v>
      </c>
      <c r="N38" s="109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80.55" hidden="false" customHeight="false" outlineLevel="0" collapsed="false">
      <c r="A39" s="90" t="str">
        <f aca="false">Gov_Map!$A$353</f>
        <v>GM349</v>
      </c>
      <c r="B39" s="90" t="str">
        <f aca="false">Gov_Map!$C$353</f>
        <v>Calib</v>
      </c>
      <c r="C39" s="90" t="str">
        <f aca="false">Gov_Map!$D$353</f>
        <v>F68</v>
      </c>
      <c r="D39" s="208" t="str">
        <f aca="false">Gov_Map!$E$353</f>
        <v>每層延遲倍數</v>
      </c>
      <c r="E39" s="90" t="str">
        <f aca="false">Gov_Map!$F$353</f>
        <v>Assumed</v>
      </c>
      <c r="F39" s="90" t="n">
        <f aca="false">Gov_Map!$K$353</f>
        <v>1</v>
      </c>
      <c r="G39" s="90" t="n">
        <f aca="false">Gov_Map!$L$353</f>
        <v>1.5</v>
      </c>
      <c r="H39" s="90" t="str">
        <f aca="false">Gov_Map!$P$353</f>
        <v>高</v>
      </c>
      <c r="I39" s="90" t="str">
        <f aca="false">Gov_Map!$T$353</f>
        <v>—</v>
      </c>
      <c r="J39" s="85" t="s">
        <v>3352</v>
      </c>
      <c r="K39" s="208" t="str">
        <f aca="false">IF(Gov_Map!$AK$353="","—",Gov_Map!$AK$353)</f>
        <v>—</v>
      </c>
      <c r="L39" s="90" t="str">
        <f aca="false">IF(ISNUMBER(Gov_Map!$AF$353),INDEX(IDX_SrcDate,Gov_Map!$AF$353),"—")</f>
        <v>—</v>
      </c>
      <c r="M39" s="91" t="s">
        <v>3390</v>
      </c>
      <c r="N39" s="109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80.55" hidden="false" customHeight="false" outlineLevel="0" collapsed="false">
      <c r="A40" s="90" t="str">
        <f aca="false">Gov_Map!$A$354</f>
        <v>GM350</v>
      </c>
      <c r="B40" s="90" t="str">
        <f aca="false">Gov_Map!$C$354</f>
        <v>Calib</v>
      </c>
      <c r="C40" s="90" t="str">
        <f aca="false">Gov_Map!$D$354</f>
        <v>G68</v>
      </c>
      <c r="D40" s="208" t="str">
        <f aca="false">Gov_Map!$E$354</f>
        <v>每層延遲倍數</v>
      </c>
      <c r="E40" s="90" t="str">
        <f aca="false">Gov_Map!$F$354</f>
        <v>Assumed</v>
      </c>
      <c r="F40" s="90" t="n">
        <f aca="false">Gov_Map!$K$354</f>
        <v>1</v>
      </c>
      <c r="G40" s="90" t="n">
        <f aca="false">Gov_Map!$L$354</f>
        <v>1.5</v>
      </c>
      <c r="H40" s="90" t="str">
        <f aca="false">Gov_Map!$P$354</f>
        <v>高</v>
      </c>
      <c r="I40" s="90" t="str">
        <f aca="false">Gov_Map!$T$354</f>
        <v>—</v>
      </c>
      <c r="J40" s="85" t="s">
        <v>3352</v>
      </c>
      <c r="K40" s="208" t="str">
        <f aca="false">IF(Gov_Map!$AK$354="","—",Gov_Map!$AK$354)</f>
        <v>—</v>
      </c>
      <c r="L40" s="90" t="str">
        <f aca="false">IF(ISNUMBER(Gov_Map!$AF$354),INDEX(IDX_SrcDate,Gov_Map!$AF$354),"—")</f>
        <v>—</v>
      </c>
      <c r="M40" s="91" t="s">
        <v>3391</v>
      </c>
      <c r="N40" s="109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229.85" hidden="false" customHeight="false" outlineLevel="0" collapsed="false">
      <c r="A41" s="90" t="str">
        <f aca="false">Gov_Map!$A$358</f>
        <v>GM354</v>
      </c>
      <c r="B41" s="90" t="str">
        <f aca="false">Gov_Map!$C$358</f>
        <v>Calib</v>
      </c>
      <c r="C41" s="90" t="str">
        <f aca="false">Gov_Map!$D$358</f>
        <v>F69</v>
      </c>
      <c r="D41" s="208" t="str">
        <f aca="false">Gov_Map!$E$358</f>
        <v>η_p 倍數</v>
      </c>
      <c r="E41" s="90" t="str">
        <f aca="false">Gov_Map!$F$358</f>
        <v>Assumed</v>
      </c>
      <c r="F41" s="90" t="n">
        <f aca="false">Gov_Map!$K$358</f>
        <v>0.5</v>
      </c>
      <c r="G41" s="90" t="n">
        <f aca="false">Gov_Map!$L$358</f>
        <v>1.5</v>
      </c>
      <c r="H41" s="90" t="str">
        <f aca="false">Gov_Map!$P$358</f>
        <v>高</v>
      </c>
      <c r="I41" s="90" t="str">
        <f aca="false">Gov_Map!$T$358</f>
        <v>—</v>
      </c>
      <c r="J41" s="85" t="s">
        <v>3392</v>
      </c>
      <c r="K41" s="208" t="str">
        <f aca="false">IF(Gov_Map!$AK$358="","—",Gov_Map!$AK$358)</f>
        <v>—</v>
      </c>
      <c r="L41" s="90" t="str">
        <f aca="false">IF(ISNUMBER(Gov_Map!$AF$358),INDEX(IDX_SrcDate,Gov_Map!$AF$358),"—")</f>
        <v>—</v>
      </c>
      <c r="M41" s="91" t="s">
        <v>3393</v>
      </c>
      <c r="N41" s="109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0" t="str">
        <f aca="false">Gov_Map!$A$458</f>
        <v>GM454</v>
      </c>
      <c r="B42" s="90" t="str">
        <f aca="false">Gov_Map!$C$458</f>
        <v>Cap_In</v>
      </c>
      <c r="C42" s="90" t="str">
        <f aca="false">Gov_Map!$D$458</f>
        <v>D28:E28</v>
      </c>
      <c r="D42" s="208" t="str">
        <f aca="false">Gov_Map!$E$458</f>
        <v>對外服務占機隊</v>
      </c>
      <c r="E42" s="90" t="str">
        <f aca="false">Gov_Map!$F$458</f>
        <v>Assumed</v>
      </c>
      <c r="F42" s="90" t="n">
        <f aca="false">Gov_Map!$K$458</f>
        <v>0</v>
      </c>
      <c r="G42" s="90" t="n">
        <f aca="false">Gov_Map!$L$458</f>
        <v>0</v>
      </c>
      <c r="H42" s="90" t="str">
        <f aca="false">Gov_Map!$P$458</f>
        <v>高</v>
      </c>
      <c r="I42" s="90" t="str">
        <f aca="false">Gov_Map!$T$458</f>
        <v>—</v>
      </c>
      <c r="J42" s="85" t="s">
        <v>608</v>
      </c>
      <c r="K42" s="208" t="str">
        <f aca="false">IF(Gov_Map!$AK$458="","—",Gov_Map!$AK$458)</f>
        <v>—</v>
      </c>
      <c r="L42" s="90" t="str">
        <f aca="false">IF(ISNUMBER(Gov_Map!$AF$458),INDEX(IDX_SrcDate,Gov_Map!$AF$458),"—")</f>
        <v>—</v>
      </c>
      <c r="M42" s="91" t="s">
        <v>3394</v>
      </c>
      <c r="N42" s="109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90" t="str">
        <f aca="false">Gov_Map!$A$460</f>
        <v>GM456</v>
      </c>
      <c r="B43" s="90" t="str">
        <f aca="false">Gov_Map!$C$460</f>
        <v>Cap_In</v>
      </c>
      <c r="C43" s="90" t="str">
        <f aca="false">Gov_Map!$D$460</f>
        <v>D29:E29</v>
      </c>
      <c r="D43" s="208" t="str">
        <f aca="false">Gov_Map!$E$460</f>
        <v>其中免費服務占服務</v>
      </c>
      <c r="E43" s="90" t="str">
        <f aca="false">Gov_Map!$F$460</f>
        <v>Assumed</v>
      </c>
      <c r="F43" s="90" t="n">
        <f aca="false">Gov_Map!$K$460</f>
        <v>0</v>
      </c>
      <c r="G43" s="90" t="n">
        <f aca="false">Gov_Map!$L$460</f>
        <v>0</v>
      </c>
      <c r="H43" s="90" t="str">
        <f aca="false">Gov_Map!$P$460</f>
        <v>高</v>
      </c>
      <c r="I43" s="90" t="str">
        <f aca="false">Gov_Map!$T$460</f>
        <v>—</v>
      </c>
      <c r="J43" s="85" t="s">
        <v>608</v>
      </c>
      <c r="K43" s="208" t="str">
        <f aca="false">IF(Gov_Map!$AK$460="","—",Gov_Map!$AK$460)</f>
        <v>—</v>
      </c>
      <c r="L43" s="90" t="str">
        <f aca="false">IF(ISNUMBER(Gov_Map!$AF$460),INDEX(IDX_SrcDate,Gov_Map!$AF$460),"—")</f>
        <v>—</v>
      </c>
      <c r="M43" s="91" t="s">
        <v>3395</v>
      </c>
      <c r="N43" s="109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90" t="str">
        <f aca="false">Gov_Map!$A$463</f>
        <v>GM459</v>
      </c>
      <c r="B44" s="90" t="str">
        <f aca="false">Gov_Map!$C$463</f>
        <v>Cap_In</v>
      </c>
      <c r="C44" s="90" t="str">
        <f aca="false">Gov_Map!$D$463</f>
        <v>C36</v>
      </c>
      <c r="D44" s="208" t="str">
        <f aca="false">Gov_Map!$E$463</f>
        <v>儲存層（1＝SSD；2＝DRAM；3＝HBM）</v>
      </c>
      <c r="E44" s="90" t="str">
        <f aca="false">Gov_Map!$F$463</f>
        <v>Assumed</v>
      </c>
      <c r="F44" s="87" t="n">
        <f aca="false">Gov_Map!$K$463</f>
        <v>1</v>
      </c>
      <c r="G44" s="87" t="n">
        <f aca="false">Gov_Map!$L$463</f>
        <v>3</v>
      </c>
      <c r="H44" s="90" t="str">
        <f aca="false">Gov_Map!$P$463</f>
        <v>高</v>
      </c>
      <c r="I44" s="90" t="str">
        <f aca="false">Gov_Map!$T$463</f>
        <v>—</v>
      </c>
      <c r="J44" s="85" t="s">
        <v>3396</v>
      </c>
      <c r="K44" s="208" t="str">
        <f aca="false">IF(Gov_Map!$AK$463="","—",Gov_Map!$AK$463)</f>
        <v>—</v>
      </c>
      <c r="L44" s="90" t="str">
        <f aca="false">IF(ISNUMBER(Gov_Map!$AF$463),INDEX(IDX_SrcDate,Gov_Map!$AF$463),"—")</f>
        <v>—</v>
      </c>
      <c r="M44" s="91" t="s">
        <v>3397</v>
      </c>
      <c r="N44" s="109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90" t="str">
        <f aca="false">Gov_Map!$A$523</f>
        <v>GM519</v>
      </c>
      <c r="B45" s="90" t="str">
        <f aca="false">Gov_Map!$C$523</f>
        <v>Train_In</v>
      </c>
      <c r="C45" s="90" t="str">
        <f aca="false">Gov_Map!$D$523</f>
        <v>C6</v>
      </c>
      <c r="D45" s="208" t="str">
        <f aca="false">Gov_Map!$E$523</f>
        <v>預訓練 MFU 基準（FP8 分母；GB200／GB300）</v>
      </c>
      <c r="E45" s="90" t="str">
        <f aca="false">Gov_Map!$F$523</f>
        <v>Analogy</v>
      </c>
      <c r="F45" s="90" t="n">
        <f aca="false">Gov_Map!$K$523</f>
        <v>0.18</v>
      </c>
      <c r="G45" s="90" t="n">
        <f aca="false">Gov_Map!$L$523</f>
        <v>0.35</v>
      </c>
      <c r="H45" s="90" t="str">
        <f aca="false">Gov_Map!$P$523</f>
        <v>高</v>
      </c>
      <c r="I45" s="90" t="n">
        <f aca="false">Gov_Map!$T$523</f>
        <v>1</v>
      </c>
      <c r="J45" s="85" t="s">
        <v>3398</v>
      </c>
      <c r="K45" s="208" t="str">
        <f aca="false">IF(Gov_Map!$AK$523="","—",Gov_Map!$AK$523)</f>
        <v>—</v>
      </c>
      <c r="L45" s="90" t="str">
        <f aca="false">IF(ISNUMBER(Gov_Map!$AF$523),INDEX(IDX_SrcDate,Gov_Map!$AF$523),"—")</f>
        <v>2026-10-05</v>
      </c>
      <c r="M45" s="91" t="s">
        <v>3399</v>
      </c>
      <c r="N45" s="109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90" t="str">
        <f aca="false">Gov_Map!$A$524</f>
        <v>GM520</v>
      </c>
      <c r="B46" s="90" t="str">
        <f aca="false">Gov_Map!$C$524</f>
        <v>Train_In</v>
      </c>
      <c r="C46" s="90" t="str">
        <f aca="false">Gov_Map!$D$524</f>
        <v>C7</v>
      </c>
      <c r="D46" s="208" t="str">
        <f aca="false">Gov_Map!$E$524</f>
        <v>goodput（扣除故障、重啟、checkpoint 的有效時間比）</v>
      </c>
      <c r="E46" s="90" t="str">
        <f aca="false">Gov_Map!$F$524</f>
        <v>Analogy</v>
      </c>
      <c r="F46" s="90" t="n">
        <f aca="false">Gov_Map!$K$524</f>
        <v>0.8</v>
      </c>
      <c r="G46" s="90" t="n">
        <f aca="false">Gov_Map!$L$524</f>
        <v>0.95</v>
      </c>
      <c r="H46" s="90" t="str">
        <f aca="false">Gov_Map!$P$524</f>
        <v>高</v>
      </c>
      <c r="I46" s="90" t="n">
        <f aca="false">Gov_Map!$T$524</f>
        <v>1</v>
      </c>
      <c r="J46" s="85" t="s">
        <v>3398</v>
      </c>
      <c r="K46" s="208" t="str">
        <f aca="false">IF(Gov_Map!$AK$524="","—",Gov_Map!$AK$524)</f>
        <v>—</v>
      </c>
      <c r="L46" s="90" t="str">
        <f aca="false">IF(ISNUMBER(Gov_Map!$AF$524),INDEX(IDX_SrcDate,Gov_Map!$AF$524),"—")</f>
        <v>2026-10-05</v>
      </c>
      <c r="M46" s="91" t="s">
        <v>3400</v>
      </c>
      <c r="N46" s="109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90" t="str">
        <f aca="false">Gov_Map!$A$530</f>
        <v>GM526</v>
      </c>
      <c r="B47" s="90" t="str">
        <f aca="false">Gov_Map!$C$530</f>
        <v>Train_In</v>
      </c>
      <c r="C47" s="90" t="str">
        <f aca="false">Gov_Map!$D$530</f>
        <v>C13</v>
      </c>
      <c r="D47" s="208" t="str">
        <f aca="false">Gov_Map!$E$530</f>
        <v>研發倍數（研發總 GPU 小時 ÷ 最終訓練）</v>
      </c>
      <c r="E47" s="90" t="str">
        <f aca="false">Gov_Map!$F$530</f>
        <v>Analogy</v>
      </c>
      <c r="F47" s="106" t="n">
        <f aca="false">Gov_Map!$K$530</f>
        <v>4.4</v>
      </c>
      <c r="G47" s="106" t="n">
        <f aca="false">Gov_Map!$L$530</f>
        <v>10.4</v>
      </c>
      <c r="H47" s="90" t="str">
        <f aca="false">Gov_Map!$P$530</f>
        <v>高</v>
      </c>
      <c r="I47" s="90" t="n">
        <f aca="false">Gov_Map!$T$530</f>
        <v>1</v>
      </c>
      <c r="J47" s="85" t="s">
        <v>3401</v>
      </c>
      <c r="K47" s="208" t="str">
        <f aca="false">IF(Gov_Map!$AK$530="","—",Gov_Map!$AK$530)</f>
        <v>—</v>
      </c>
      <c r="L47" s="90" t="str">
        <f aca="false">IF(ISNUMBER(Gov_Map!$AF$530),INDEX(IDX_SrcDate,Gov_Map!$AF$530),"—")</f>
        <v>—</v>
      </c>
      <c r="M47" s="91" t="s">
        <v>3402</v>
      </c>
      <c r="N47" s="109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0" t="str">
        <f aca="false">Gov_Map!$A$534</f>
        <v>GM530</v>
      </c>
      <c r="B48" s="90" t="str">
        <f aca="false">Gov_Map!$C$534</f>
        <v>Train_In</v>
      </c>
      <c r="C48" s="90" t="str">
        <f aca="false">Gov_Map!$D$534</f>
        <v>C21:G21</v>
      </c>
      <c r="D48" s="208" t="str">
        <f aca="false">Gov_Map!$E$534</f>
        <v>預訓練 MFU 世代倍數</v>
      </c>
      <c r="E48" s="90" t="str">
        <f aca="false">Gov_Map!$F$534</f>
        <v>Assumed</v>
      </c>
      <c r="F48" s="90" t="n">
        <f aca="false">Gov_Map!$K$534</f>
        <v>0</v>
      </c>
      <c r="G48" s="90" t="n">
        <f aca="false">Gov_Map!$L$534</f>
        <v>0</v>
      </c>
      <c r="H48" s="90" t="str">
        <f aca="false">Gov_Map!$P$534</f>
        <v>高</v>
      </c>
      <c r="I48" s="90" t="str">
        <f aca="false">Gov_Map!$T$534</f>
        <v>—</v>
      </c>
      <c r="J48" s="85" t="s">
        <v>3398</v>
      </c>
      <c r="K48" s="208" t="str">
        <f aca="false">IF(Gov_Map!$AK$534="","—",Gov_Map!$AK$534)</f>
        <v>—</v>
      </c>
      <c r="L48" s="90" t="str">
        <f aca="false">IF(ISNUMBER(Gov_Map!$AF$534),INDEX(IDX_SrcDate,Gov_Map!$AF$534),"—")</f>
        <v>—</v>
      </c>
      <c r="M48" s="91" t="s">
        <v>3403</v>
      </c>
      <c r="N48" s="109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90" t="str">
        <f aca="false">Gov_Map!$A$535</f>
        <v>GM531</v>
      </c>
      <c r="B49" s="90" t="str">
        <f aca="false">Gov_Map!$C$535</f>
        <v>Train_In</v>
      </c>
      <c r="C49" s="90" t="str">
        <f aca="false">Gov_Map!$D$535</f>
        <v>E25</v>
      </c>
      <c r="D49" s="208" t="str">
        <f aca="false">Gov_Map!$E$535</f>
        <v>預訓練 token</v>
      </c>
      <c r="E49" s="90" t="str">
        <f aca="false">Gov_Map!$F$535</f>
        <v>Assumed</v>
      </c>
      <c r="F49" s="90" t="n">
        <f aca="false">Gov_Map!$K$535</f>
        <v>30</v>
      </c>
      <c r="G49" s="90" t="n">
        <f aca="false">Gov_Map!$L$535</f>
        <v>100</v>
      </c>
      <c r="H49" s="90" t="str">
        <f aca="false">Gov_Map!$P$535</f>
        <v>高</v>
      </c>
      <c r="I49" s="90" t="str">
        <f aca="false">Gov_Map!$T$535</f>
        <v>—</v>
      </c>
      <c r="J49" s="85" t="s">
        <v>3404</v>
      </c>
      <c r="K49" s="208" t="str">
        <f aca="false">IF(Gov_Map!$AK$535="","—",Gov_Map!$AK$535)</f>
        <v>—</v>
      </c>
      <c r="L49" s="90" t="str">
        <f aca="false">IF(ISNUMBER(Gov_Map!$AF$535),INDEX(IDX_SrcDate,Gov_Map!$AF$535),"—")</f>
        <v>—</v>
      </c>
      <c r="M49" s="91" t="s">
        <v>3405</v>
      </c>
      <c r="N49" s="109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90" t="str">
        <f aca="false">Gov_Map!$A$544</f>
        <v>GM540</v>
      </c>
      <c r="B50" s="90" t="str">
        <f aca="false">Gov_Map!$C$544</f>
        <v>Train_In</v>
      </c>
      <c r="C50" s="90" t="str">
        <f aca="false">Gov_Map!$D$544</f>
        <v>C34:E34</v>
      </c>
      <c r="D50" s="208" t="str">
        <f aca="false">Gov_Map!$E$544</f>
        <v>RL rollout 輸出 token（含各領域專家）</v>
      </c>
      <c r="E50" s="90" t="str">
        <f aca="false">Gov_Map!$F$544</f>
        <v>Assumed</v>
      </c>
      <c r="F50" s="90" t="n">
        <f aca="false">Gov_Map!$K$544</f>
        <v>0</v>
      </c>
      <c r="G50" s="90" t="n">
        <f aca="false">Gov_Map!$L$544</f>
        <v>0</v>
      </c>
      <c r="H50" s="90" t="str">
        <f aca="false">Gov_Map!$P$544</f>
        <v>高</v>
      </c>
      <c r="I50" s="90" t="str">
        <f aca="false">Gov_Map!$T$544</f>
        <v>—</v>
      </c>
      <c r="J50" s="85" t="s">
        <v>3406</v>
      </c>
      <c r="K50" s="208" t="str">
        <f aca="false">IF(Gov_Map!$AK$544="","—",Gov_Map!$AK$544)</f>
        <v>—</v>
      </c>
      <c r="L50" s="90" t="str">
        <f aca="false">IF(ISNUMBER(Gov_Map!$AF$544),INDEX(IDX_SrcDate,Gov_Map!$AF$544),"—")</f>
        <v>—</v>
      </c>
      <c r="M50" s="91" t="s">
        <v>3407</v>
      </c>
      <c r="N50" s="109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0" t="str">
        <f aca="false">Gov_Map!$A$580</f>
        <v>GM576</v>
      </c>
      <c r="B51" s="90" t="str">
        <f aca="false">Gov_Map!$C$580</f>
        <v>Alloc_In</v>
      </c>
      <c r="C51" s="90" t="str">
        <f aca="false">Gov_Map!$D$580</f>
        <v>C6</v>
      </c>
      <c r="D51" s="208" t="str">
        <f aca="false">Gov_Map!$E$580</f>
        <v>家族計畫數 N_major（個／年）</v>
      </c>
      <c r="E51" s="90" t="str">
        <f aca="false">Gov_Map!$F$580</f>
        <v>Assumed</v>
      </c>
      <c r="F51" s="106" t="n">
        <f aca="false">Gov_Map!$K$580</f>
        <v>1</v>
      </c>
      <c r="G51" s="106" t="n">
        <f aca="false">Gov_Map!$L$580</f>
        <v>2</v>
      </c>
      <c r="H51" s="90" t="str">
        <f aca="false">Gov_Map!$P$580</f>
        <v>高</v>
      </c>
      <c r="I51" s="90" t="str">
        <f aca="false">Gov_Map!$T$580</f>
        <v>—</v>
      </c>
      <c r="J51" s="85" t="s">
        <v>3408</v>
      </c>
      <c r="K51" s="208" t="str">
        <f aca="false">IF(Gov_Map!$AK$580="","—",Gov_Map!$AK$580)</f>
        <v>—</v>
      </c>
      <c r="L51" s="90" t="str">
        <f aca="false">IF(ISNUMBER(Gov_Map!$AF$580),INDEX(IDX_SrcDate,Gov_Map!$AF$580),"—")</f>
        <v>—</v>
      </c>
      <c r="M51" s="91" t="s">
        <v>3409</v>
      </c>
      <c r="N51" s="109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0" t="str">
        <f aca="false">Gov_Map!$A$582</f>
        <v>GM578</v>
      </c>
      <c r="B52" s="90" t="str">
        <f aca="false">Gov_Map!$C$582</f>
        <v>Alloc_In</v>
      </c>
      <c r="C52" s="90" t="str">
        <f aca="false">Gov_Map!$D$582</f>
        <v>C7</v>
      </c>
      <c r="D52" s="208" t="str">
        <f aca="false">Gov_Map!$E$582</f>
        <v>改版計畫數 N_refresh（個／年）</v>
      </c>
      <c r="E52" s="90" t="str">
        <f aca="false">Gov_Map!$F$582</f>
        <v>Assumed</v>
      </c>
      <c r="F52" s="106" t="n">
        <f aca="false">Gov_Map!$K$582</f>
        <v>0</v>
      </c>
      <c r="G52" s="106" t="n">
        <f aca="false">Gov_Map!$L$582</f>
        <v>6</v>
      </c>
      <c r="H52" s="90" t="str">
        <f aca="false">Gov_Map!$P$582</f>
        <v>高</v>
      </c>
      <c r="I52" s="90" t="str">
        <f aca="false">Gov_Map!$T$582</f>
        <v>—</v>
      </c>
      <c r="J52" s="85" t="s">
        <v>3408</v>
      </c>
      <c r="K52" s="208" t="str">
        <f aca="false">IF(Gov_Map!$AK$582="","—",Gov_Map!$AK$582)</f>
        <v>—</v>
      </c>
      <c r="L52" s="90" t="str">
        <f aca="false">IF(ISNUMBER(Gov_Map!$AF$582),INDEX(IDX_SrcDate,Gov_Map!$AF$582),"—")</f>
        <v>—</v>
      </c>
      <c r="M52" s="91" t="s">
        <v>3410</v>
      </c>
      <c r="N52" s="109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90" t="str">
        <f aca="false">Gov_Map!$A$584</f>
        <v>GM580</v>
      </c>
      <c r="B53" s="90" t="str">
        <f aca="false">Gov_Map!$C$584</f>
        <v>Alloc_In</v>
      </c>
      <c r="C53" s="90" t="str">
        <f aca="false">Gov_Map!$D$584</f>
        <v>C8</v>
      </c>
      <c r="D53" s="208" t="str">
        <f aca="false">Gov_Map!$E$584</f>
        <v>計畫規模倍數 k（相對 Block 3）</v>
      </c>
      <c r="E53" s="90" t="str">
        <f aca="false">Gov_Map!$F$584</f>
        <v>Assumed</v>
      </c>
      <c r="F53" s="106" t="n">
        <f aca="false">Gov_Map!$K$584</f>
        <v>0.5</v>
      </c>
      <c r="G53" s="106" t="n">
        <f aca="false">Gov_Map!$L$584</f>
        <v>7</v>
      </c>
      <c r="H53" s="90" t="str">
        <f aca="false">Gov_Map!$P$584</f>
        <v>高</v>
      </c>
      <c r="I53" s="90" t="str">
        <f aca="false">Gov_Map!$T$584</f>
        <v>—</v>
      </c>
      <c r="J53" s="85" t="s">
        <v>3408</v>
      </c>
      <c r="K53" s="208" t="str">
        <f aca="false">IF(Gov_Map!$AK$584="","—",Gov_Map!$AK$584)</f>
        <v>—</v>
      </c>
      <c r="L53" s="90" t="str">
        <f aca="false">IF(ISNUMBER(Gov_Map!$AF$584),INDEX(IDX_SrcDate,Gov_Map!$AF$584),"—")</f>
        <v>—</v>
      </c>
      <c r="M53" s="91" t="s">
        <v>3411</v>
      </c>
      <c r="N53" s="109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0" t="str">
        <f aca="false">Gov_Map!$A$590</f>
        <v>GM586</v>
      </c>
      <c r="B54" s="90" t="str">
        <f aca="false">Gov_Map!$C$590</f>
        <v>Alloc_In</v>
      </c>
      <c r="C54" s="90" t="str">
        <f aca="false">Gov_Map!$D$590</f>
        <v>C15</v>
      </c>
      <c r="D54" s="208" t="str">
        <f aca="false">Gov_Map!$E$590</f>
        <v>每則提示 token 數</v>
      </c>
      <c r="E54" s="90" t="str">
        <f aca="false">Gov_Map!$F$590</f>
        <v>Assumed</v>
      </c>
      <c r="F54" s="60" t="n">
        <f aca="false">Gov_Map!$K$590</f>
        <v>2000</v>
      </c>
      <c r="G54" s="60" t="n">
        <f aca="false">Gov_Map!$L$590</f>
        <v>11000</v>
      </c>
      <c r="H54" s="90" t="str">
        <f aca="false">Gov_Map!$P$590</f>
        <v>高</v>
      </c>
      <c r="I54" s="90" t="n">
        <f aca="false">Gov_Map!$T$590</f>
        <v>2</v>
      </c>
      <c r="J54" s="85" t="s">
        <v>3412</v>
      </c>
      <c r="K54" s="208" t="str">
        <f aca="false">IF(Gov_Map!$AK$590="","—",Gov_Map!$AK$590)</f>
        <v>—</v>
      </c>
      <c r="L54" s="90" t="str">
        <f aca="false">IF(ISNUMBER(Gov_Map!$AF$590),INDEX(IDX_SrcDate,Gov_Map!$AF$590),"—")</f>
        <v>—</v>
      </c>
      <c r="M54" s="91" t="s">
        <v>3413</v>
      </c>
      <c r="N54" s="109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57" t="s">
        <v>3414</v>
      </c>
      <c r="J56" s="87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5" t="s">
        <v>3415</v>
      </c>
    </row>
    <row r="2" customFormat="false" ht="15" hidden="false" customHeight="false" outlineLevel="0" collapsed="false">
      <c r="A2" s="71" t="s">
        <v>3416</v>
      </c>
    </row>
    <row r="4" customFormat="false" ht="15" hidden="false" customHeight="false" outlineLevel="0" collapsed="false">
      <c r="A4" s="57" t="s">
        <v>3417</v>
      </c>
    </row>
    <row r="5" customFormat="false" ht="15" hidden="false" customHeight="false" outlineLevel="0" collapsed="false">
      <c r="A5" s="59" t="s">
        <v>3418</v>
      </c>
      <c r="B5" s="59" t="s">
        <v>93</v>
      </c>
      <c r="C5" s="63" t="n">
        <v>0.6</v>
      </c>
      <c r="F5" s="56" t="s">
        <v>3419</v>
      </c>
    </row>
    <row r="6" customFormat="false" ht="15" hidden="false" customHeight="false" outlineLevel="0" collapsed="false">
      <c r="A6" s="59" t="s">
        <v>3420</v>
      </c>
      <c r="B6" s="59" t="s">
        <v>3421</v>
      </c>
      <c r="C6" s="64" t="n">
        <v>10</v>
      </c>
      <c r="F6" s="56" t="s">
        <v>3422</v>
      </c>
    </row>
    <row r="7" customFormat="false" ht="15" hidden="false" customHeight="false" outlineLevel="0" collapsed="false">
      <c r="A7" s="59" t="s">
        <v>3423</v>
      </c>
      <c r="B7" s="59" t="s">
        <v>3421</v>
      </c>
      <c r="C7" s="64" t="n">
        <v>40</v>
      </c>
      <c r="F7" s="56" t="s">
        <v>3424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5" t="s">
        <v>3425</v>
      </c>
    </row>
    <row r="2" customFormat="false" ht="15" hidden="false" customHeight="false" outlineLevel="0" collapsed="false">
      <c r="A2" s="71" t="s">
        <v>3426</v>
      </c>
    </row>
    <row r="4" customFormat="false" ht="30" hidden="false" customHeight="true" outlineLevel="0" collapsed="false">
      <c r="A4" s="81" t="s">
        <v>3427</v>
      </c>
      <c r="B4" s="81" t="s">
        <v>3428</v>
      </c>
      <c r="C4" s="81" t="s">
        <v>3429</v>
      </c>
      <c r="D4" s="81" t="s">
        <v>3430</v>
      </c>
      <c r="E4" s="81" t="s">
        <v>3431</v>
      </c>
      <c r="F4" s="81" t="s">
        <v>3432</v>
      </c>
      <c r="G4" s="81" t="s">
        <v>3433</v>
      </c>
      <c r="H4" s="81" t="s">
        <v>3434</v>
      </c>
      <c r="I4" s="81" t="s">
        <v>3435</v>
      </c>
      <c r="J4" s="81" t="s">
        <v>3436</v>
      </c>
      <c r="K4" s="81" t="s">
        <v>81</v>
      </c>
      <c r="L4" s="81" t="s">
        <v>325</v>
      </c>
    </row>
    <row r="5" customFormat="false" ht="15" hidden="false" customHeight="false" outlineLevel="0" collapsed="false">
      <c r="A5" s="59" t="s">
        <v>3437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2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6" t="s">
        <v>94</v>
      </c>
      <c r="L5" s="56" t="s">
        <v>3438</v>
      </c>
    </row>
    <row r="6" customFormat="false" ht="15" hidden="false" customHeight="false" outlineLevel="0" collapsed="false">
      <c r="A6" s="59" t="s">
        <v>3439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2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6" t="s">
        <v>94</v>
      </c>
      <c r="L6" s="71" t="s">
        <v>3440</v>
      </c>
    </row>
    <row r="7" customFormat="false" ht="15" hidden="false" customHeight="false" outlineLevel="0" collapsed="false">
      <c r="A7" s="59" t="s">
        <v>3441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2" t="n">
        <f aca="false">F7/C7</f>
        <v>1.4</v>
      </c>
      <c r="I7" s="74" t="n">
        <f aca="false">E7/D7</f>
        <v>0.75</v>
      </c>
      <c r="J7" s="74" t="n">
        <f aca="false">G7/B7</f>
        <v>3</v>
      </c>
      <c r="K7" s="56" t="s">
        <v>94</v>
      </c>
      <c r="L7" s="56" t="s">
        <v>3442</v>
      </c>
    </row>
    <row r="8" customFormat="false" ht="15" hidden="false" customHeight="false" outlineLevel="0" collapsed="false">
      <c r="A8" s="59" t="s">
        <v>3443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2" t="n">
        <f aca="false">F8/C8</f>
        <v>2.5</v>
      </c>
      <c r="I8" s="74" t="n">
        <f aca="false">E8/D8</f>
        <v>1</v>
      </c>
      <c r="J8" s="74" t="n">
        <f aca="false">G8/B8</f>
        <v>6</v>
      </c>
      <c r="K8" s="56" t="s">
        <v>94</v>
      </c>
      <c r="L8" s="71" t="s">
        <v>3444</v>
      </c>
    </row>
    <row r="9" customFormat="false" ht="15" hidden="false" customHeight="false" outlineLevel="0" collapsed="false">
      <c r="A9" s="59" t="s">
        <v>3445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2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6" t="s">
        <v>94</v>
      </c>
      <c r="L9" s="71" t="s">
        <v>3446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3447</v>
      </c>
    </row>
    <row r="2" customFormat="false" ht="15" hidden="false" customHeight="true" outlineLevel="0" collapsed="false">
      <c r="A2" s="11" t="s">
        <v>3448</v>
      </c>
    </row>
    <row r="4" customFormat="false" ht="30" hidden="false" customHeight="true" outlineLevel="0" collapsed="false">
      <c r="A4" s="20" t="s">
        <v>817</v>
      </c>
      <c r="C4" s="209" t="s">
        <v>79</v>
      </c>
      <c r="D4" s="209" t="s">
        <v>3449</v>
      </c>
      <c r="E4" s="209" t="s">
        <v>3450</v>
      </c>
      <c r="F4" s="209" t="s">
        <v>3451</v>
      </c>
      <c r="G4" s="209" t="s">
        <v>3452</v>
      </c>
      <c r="H4" s="209" t="s">
        <v>3453</v>
      </c>
      <c r="I4" s="209" t="s">
        <v>3454</v>
      </c>
      <c r="J4" s="209" t="s">
        <v>3455</v>
      </c>
      <c r="K4" s="209" t="s">
        <v>3456</v>
      </c>
      <c r="L4" s="209" t="s">
        <v>3457</v>
      </c>
      <c r="M4" s="209" t="s">
        <v>3458</v>
      </c>
      <c r="N4" s="210" t="s">
        <v>3459</v>
      </c>
      <c r="O4" s="210" t="s">
        <v>3460</v>
      </c>
      <c r="P4" s="210" t="s">
        <v>3461</v>
      </c>
      <c r="Q4" s="210" t="s">
        <v>3462</v>
      </c>
      <c r="R4" s="209" t="s">
        <v>3463</v>
      </c>
      <c r="S4" s="209" t="s">
        <v>3464</v>
      </c>
      <c r="T4" s="210" t="s">
        <v>3465</v>
      </c>
      <c r="U4" s="210" t="s">
        <v>3466</v>
      </c>
      <c r="V4" s="209" t="s">
        <v>3467</v>
      </c>
      <c r="W4" s="209" t="s">
        <v>3468</v>
      </c>
      <c r="X4" s="209" t="s">
        <v>3469</v>
      </c>
      <c r="Y4" s="209" t="s">
        <v>3470</v>
      </c>
    </row>
    <row r="6" customFormat="false" ht="15" hidden="false" customHeight="true" outlineLevel="0" collapsed="false">
      <c r="A6" s="25" t="s">
        <v>856</v>
      </c>
      <c r="B6" s="14"/>
      <c r="C6" s="14"/>
    </row>
    <row r="7" customFormat="false" ht="15" hidden="false" customHeight="true" outlineLevel="0" collapsed="false">
      <c r="A7" s="15" t="s">
        <v>3471</v>
      </c>
      <c r="B7" s="16" t="s">
        <v>858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92</v>
      </c>
      <c r="B8" s="16" t="s">
        <v>93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859</v>
      </c>
      <c r="B9" s="16" t="s">
        <v>858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730</v>
      </c>
      <c r="B10" s="16" t="s">
        <v>731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2369</v>
      </c>
      <c r="B11" s="21" t="s">
        <v>729</v>
      </c>
      <c r="C11" s="126" t="n">
        <f aca="false">FLOOR(C9*1000/C10,1)</f>
        <v>4052</v>
      </c>
      <c r="D11" s="126" t="n">
        <f aca="false">FLOOR(D9*1000/D10,1)</f>
        <v>4052</v>
      </c>
      <c r="E11" s="126" t="n">
        <f aca="false">FLOOR(E9*1000/E10,1)</f>
        <v>4052</v>
      </c>
      <c r="F11" s="126" t="n">
        <f aca="false">FLOOR(F9*1000/F10,1)</f>
        <v>4893</v>
      </c>
      <c r="G11" s="126" t="n">
        <f aca="false">FLOOR(G9*1000/G10,1)</f>
        <v>4000</v>
      </c>
      <c r="H11" s="126" t="n">
        <f aca="false">FLOOR(H9*1000/H10,1)</f>
        <v>4052</v>
      </c>
      <c r="I11" s="126" t="n">
        <f aca="false">FLOOR(I9*1000/I10,1)</f>
        <v>4052</v>
      </c>
      <c r="J11" s="126" t="n">
        <f aca="false">FLOOR(J9*1000/J10,1)</f>
        <v>4052</v>
      </c>
      <c r="K11" s="126" t="n">
        <f aca="false">FLOOR(K9*1000/K10,1)</f>
        <v>4052</v>
      </c>
      <c r="L11" s="126" t="n">
        <f aca="false">FLOOR(L9*1000/L10,1)</f>
        <v>4052</v>
      </c>
      <c r="M11" s="126" t="n">
        <f aca="false">FLOOR(M9*1000/M10,1)</f>
        <v>4052</v>
      </c>
      <c r="N11" s="126" t="n">
        <f aca="false">FLOOR(N9*1000/N10,1)</f>
        <v>4052</v>
      </c>
      <c r="O11" s="126" t="n">
        <f aca="false">FLOOR(O9*1000/O10,1)</f>
        <v>4052</v>
      </c>
      <c r="P11" s="126" t="n">
        <f aca="false">FLOOR(P9*1000/P10,1)</f>
        <v>4052</v>
      </c>
      <c r="Q11" s="126" t="n">
        <f aca="false">FLOOR(Q9*1000/Q10,1)</f>
        <v>4052</v>
      </c>
      <c r="R11" s="126" t="n">
        <f aca="false">FLOOR(R9*1000/R10,1)</f>
        <v>4052</v>
      </c>
      <c r="S11" s="126" t="n">
        <f aca="false">FLOOR(S9*1000/S10,1)</f>
        <v>4052</v>
      </c>
      <c r="T11" s="126" t="n">
        <f aca="false">FLOOR(T9*1000/T10,1)</f>
        <v>4052</v>
      </c>
      <c r="U11" s="126" t="n">
        <f aca="false">FLOOR(U9*1000/U10,1)</f>
        <v>4052</v>
      </c>
      <c r="V11" s="126" t="n">
        <f aca="false">FLOOR(V9*1000/V10,1)</f>
        <v>4052</v>
      </c>
      <c r="W11" s="126" t="n">
        <f aca="false">FLOOR(W9*1000/W10,1)</f>
        <v>4052</v>
      </c>
      <c r="X11" s="126" t="n">
        <f aca="false">FLOOR(X9*1000/X10,1)</f>
        <v>4185</v>
      </c>
      <c r="Y11" s="126" t="n">
        <f aca="false">FLOOR(Y9*1000/Y10,1)</f>
        <v>3876</v>
      </c>
    </row>
    <row r="12" customFormat="false" ht="15" hidden="false" customHeight="true" outlineLevel="0" collapsed="false">
      <c r="A12" s="15" t="s">
        <v>178</v>
      </c>
      <c r="B12" s="21" t="s">
        <v>723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2371</v>
      </c>
      <c r="B13" s="21" t="s">
        <v>723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96</v>
      </c>
      <c r="B14" s="16" t="s">
        <v>97</v>
      </c>
      <c r="C14" s="128" t="n">
        <f aca="false">Inputs!$E$9</f>
        <v>1.2</v>
      </c>
      <c r="D14" s="128" t="n">
        <f aca="false">Inputs!$E$9</f>
        <v>1.2</v>
      </c>
      <c r="E14" s="128" t="n">
        <f aca="false">Inputs!$E$9</f>
        <v>1.2</v>
      </c>
      <c r="F14" s="128" t="n">
        <f aca="false">Inputs!$E$9</f>
        <v>1.2</v>
      </c>
      <c r="G14" s="128" t="n">
        <f aca="false">Inputs!$E$9</f>
        <v>1.2</v>
      </c>
      <c r="H14" s="128" t="n">
        <f aca="false">Inputs!$E$9</f>
        <v>1.2</v>
      </c>
      <c r="I14" s="128" t="n">
        <f aca="false">Inputs!$E$9</f>
        <v>1.2</v>
      </c>
      <c r="J14" s="128" t="n">
        <f aca="false">Inputs!$E$9</f>
        <v>1.2</v>
      </c>
      <c r="K14" s="128" t="n">
        <f aca="false">Inputs!$E$9</f>
        <v>1.2</v>
      </c>
      <c r="L14" s="128" t="n">
        <f aca="false">Inputs!$E$9</f>
        <v>1.2</v>
      </c>
      <c r="M14" s="128" t="n">
        <f aca="false">Inputs!$E$9</f>
        <v>1.2</v>
      </c>
      <c r="N14" s="128" t="n">
        <f aca="false">Inputs!$E$9</f>
        <v>1.2</v>
      </c>
      <c r="O14" s="128" t="n">
        <f aca="false">Inputs!$E$9</f>
        <v>1.2</v>
      </c>
      <c r="P14" s="128" t="n">
        <f aca="false">Inputs!$E$9</f>
        <v>1.2</v>
      </c>
      <c r="Q14" s="128" t="n">
        <f aca="false">Inputs!$E$9</f>
        <v>1.2</v>
      </c>
      <c r="R14" s="128" t="n">
        <f aca="false">Inputs!$E$9</f>
        <v>1.2</v>
      </c>
      <c r="S14" s="128" t="n">
        <f aca="false">Inputs!$E$9</f>
        <v>1.2</v>
      </c>
      <c r="T14" s="128" t="n">
        <f aca="false">Inputs!$D$9</f>
        <v>1.1</v>
      </c>
      <c r="U14" s="128" t="n">
        <f aca="false">Inputs!$F$9</f>
        <v>1.3</v>
      </c>
      <c r="V14" s="128" t="n">
        <f aca="false">Inputs!$E$9</f>
        <v>1.2</v>
      </c>
      <c r="W14" s="128" t="n">
        <f aca="false">Inputs!$E$9</f>
        <v>1.2</v>
      </c>
      <c r="X14" s="128" t="n">
        <f aca="false">Inputs!$E$9</f>
        <v>1.2</v>
      </c>
      <c r="Y14" s="128" t="n">
        <f aca="false">Inputs!$E$9</f>
        <v>1.2</v>
      </c>
    </row>
    <row r="15" customFormat="false" ht="15" hidden="false" customHeight="true" outlineLevel="0" collapsed="false">
      <c r="A15" s="20" t="s">
        <v>862</v>
      </c>
      <c r="B15" s="16" t="s">
        <v>858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3472</v>
      </c>
      <c r="B16" s="14"/>
      <c r="C16" s="14"/>
    </row>
    <row r="17" customFormat="false" ht="15" hidden="false" customHeight="true" outlineLevel="0" collapsed="false">
      <c r="A17" s="20" t="s">
        <v>864</v>
      </c>
      <c r="B17" s="16" t="s">
        <v>865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866</v>
      </c>
      <c r="B18" s="16" t="s">
        <v>867</v>
      </c>
      <c r="C18" s="129" t="n">
        <f aca="false">C11*C17/1000</f>
        <v>34.0368</v>
      </c>
      <c r="D18" s="129" t="n">
        <f aca="false">D11*D17/1000</f>
        <v>31.6056</v>
      </c>
      <c r="E18" s="129" t="n">
        <f aca="false">E11*E17/1000</f>
        <v>36.8732</v>
      </c>
      <c r="F18" s="129" t="n">
        <f aca="false">F11*F17/1000</f>
        <v>41.1012</v>
      </c>
      <c r="G18" s="129" t="n">
        <f aca="false">G11*G17/1000</f>
        <v>33.6</v>
      </c>
      <c r="H18" s="129" t="n">
        <f aca="false">H11*H17/1000</f>
        <v>34.0368</v>
      </c>
      <c r="I18" s="129" t="n">
        <f aca="false">I11*I17/1000</f>
        <v>34.0368</v>
      </c>
      <c r="J18" s="129" t="n">
        <f aca="false">J11*J17/1000</f>
        <v>34.0368</v>
      </c>
      <c r="K18" s="129" t="n">
        <f aca="false">K11*K17/1000</f>
        <v>34.0368</v>
      </c>
      <c r="L18" s="129" t="n">
        <f aca="false">L11*L17/1000</f>
        <v>34.0368</v>
      </c>
      <c r="M18" s="129" t="n">
        <f aca="false">M11*M17/1000</f>
        <v>34.0368</v>
      </c>
      <c r="N18" s="129" t="n">
        <f aca="false">N11*N17/1000</f>
        <v>34.0368</v>
      </c>
      <c r="O18" s="129" t="n">
        <f aca="false">O11*O17/1000</f>
        <v>34.0368</v>
      </c>
      <c r="P18" s="129" t="n">
        <f aca="false">P11*P17/1000</f>
        <v>34.0368</v>
      </c>
      <c r="Q18" s="129" t="n">
        <f aca="false">Q11*Q17/1000</f>
        <v>34.0368</v>
      </c>
      <c r="R18" s="129" t="n">
        <f aca="false">R11*R17/1000</f>
        <v>34.0368</v>
      </c>
      <c r="S18" s="129" t="n">
        <f aca="false">S11*S17/1000</f>
        <v>34.0368</v>
      </c>
      <c r="T18" s="129" t="n">
        <f aca="false">T11*T17/1000</f>
        <v>34.0368</v>
      </c>
      <c r="U18" s="129" t="n">
        <f aca="false">U11*U17/1000</f>
        <v>34.0368</v>
      </c>
      <c r="V18" s="129" t="n">
        <f aca="false">V11*V17/1000</f>
        <v>34.0368</v>
      </c>
      <c r="W18" s="129" t="n">
        <f aca="false">W11*W17/1000</f>
        <v>34.0368</v>
      </c>
      <c r="X18" s="129" t="n">
        <f aca="false">X11*X17/1000</f>
        <v>35.154</v>
      </c>
      <c r="Y18" s="129" t="n">
        <f aca="false">Y11*Y17/1000</f>
        <v>32.5584</v>
      </c>
    </row>
    <row r="19" customFormat="false" ht="15" hidden="false" customHeight="true" outlineLevel="0" collapsed="false">
      <c r="A19" s="15" t="s">
        <v>107</v>
      </c>
      <c r="B19" s="16" t="s">
        <v>93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868</v>
      </c>
      <c r="B20" s="16" t="s">
        <v>867</v>
      </c>
      <c r="C20" s="129" t="n">
        <f aca="false">C18*C19</f>
        <v>3.40368</v>
      </c>
      <c r="D20" s="129" t="n">
        <f aca="false">D18*D19</f>
        <v>3.16056</v>
      </c>
      <c r="E20" s="129" t="n">
        <f aca="false">E18*E19</f>
        <v>3.68732</v>
      </c>
      <c r="F20" s="129" t="n">
        <f aca="false">F18*F19</f>
        <v>4.11012</v>
      </c>
      <c r="G20" s="129" t="n">
        <f aca="false">G18*G19</f>
        <v>3.36</v>
      </c>
      <c r="H20" s="129" t="n">
        <f aca="false">H18*H19</f>
        <v>1.70184</v>
      </c>
      <c r="I20" s="129" t="n">
        <f aca="false">I18*I19</f>
        <v>5.10552</v>
      </c>
      <c r="J20" s="129" t="n">
        <f aca="false">J18*J19</f>
        <v>3.40368</v>
      </c>
      <c r="K20" s="129" t="n">
        <f aca="false">K18*K19</f>
        <v>3.40368</v>
      </c>
      <c r="L20" s="129" t="n">
        <f aca="false">L18*L19</f>
        <v>3.40368</v>
      </c>
      <c r="M20" s="129" t="n">
        <f aca="false">M18*M19</f>
        <v>3.40368</v>
      </c>
      <c r="N20" s="129" t="n">
        <f aca="false">N18*N19</f>
        <v>3.40368</v>
      </c>
      <c r="O20" s="129" t="n">
        <f aca="false">O18*O19</f>
        <v>3.40368</v>
      </c>
      <c r="P20" s="129" t="n">
        <f aca="false">P18*P19</f>
        <v>3.40368</v>
      </c>
      <c r="Q20" s="129" t="n">
        <f aca="false">Q18*Q19</f>
        <v>3.40368</v>
      </c>
      <c r="R20" s="129" t="n">
        <f aca="false">R18*R19</f>
        <v>3.40368</v>
      </c>
      <c r="S20" s="129" t="n">
        <f aca="false">S18*S19</f>
        <v>3.40368</v>
      </c>
      <c r="T20" s="129" t="n">
        <f aca="false">T18*T19</f>
        <v>3.40368</v>
      </c>
      <c r="U20" s="129" t="n">
        <f aca="false">U18*U19</f>
        <v>3.40368</v>
      </c>
      <c r="V20" s="129" t="n">
        <f aca="false">V18*V19</f>
        <v>3.40368</v>
      </c>
      <c r="W20" s="129" t="n">
        <f aca="false">W18*W19</f>
        <v>3.40368</v>
      </c>
      <c r="X20" s="129" t="n">
        <f aca="false">X18*X19</f>
        <v>3.5154</v>
      </c>
      <c r="Y20" s="129" t="n">
        <f aca="false">Y18*Y19</f>
        <v>3.25584</v>
      </c>
    </row>
    <row r="21" customFormat="false" ht="15" hidden="false" customHeight="true" outlineLevel="0" collapsed="false">
      <c r="A21" s="20" t="s">
        <v>869</v>
      </c>
      <c r="B21" s="16" t="s">
        <v>110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869</v>
      </c>
      <c r="B22" s="16" t="s">
        <v>867</v>
      </c>
      <c r="C22" s="129" t="n">
        <f aca="false">C13*C21/1000000000</f>
        <v>0.145872</v>
      </c>
      <c r="D22" s="129" t="n">
        <f aca="false">D13*D21/1000000000</f>
        <v>0.145872</v>
      </c>
      <c r="E22" s="129" t="n">
        <f aca="false">E13*E21/1000000000</f>
        <v>0.145872</v>
      </c>
      <c r="F22" s="129" t="n">
        <f aca="false">F13*F21/1000000000</f>
        <v>0.176148</v>
      </c>
      <c r="G22" s="129" t="n">
        <f aca="false">G13*G21/1000000000</f>
        <v>0.144</v>
      </c>
      <c r="H22" s="129" t="n">
        <f aca="false">H13*H21/1000000000</f>
        <v>0.145872</v>
      </c>
      <c r="I22" s="129" t="n">
        <f aca="false">I13*I21/1000000000</f>
        <v>0.145872</v>
      </c>
      <c r="J22" s="129" t="n">
        <f aca="false">J13*J21/1000000000</f>
        <v>0.145872</v>
      </c>
      <c r="K22" s="129" t="n">
        <f aca="false">K13*K21/1000000000</f>
        <v>0.145872</v>
      </c>
      <c r="L22" s="129" t="n">
        <f aca="false">L13*L21/1000000000</f>
        <v>0.145872</v>
      </c>
      <c r="M22" s="129" t="n">
        <f aca="false">M13*M21/1000000000</f>
        <v>0.145872</v>
      </c>
      <c r="N22" s="129" t="n">
        <f aca="false">N13*N21/1000000000</f>
        <v>0.145872</v>
      </c>
      <c r="O22" s="129" t="n">
        <f aca="false">O13*O21/1000000000</f>
        <v>0.145872</v>
      </c>
      <c r="P22" s="129" t="n">
        <f aca="false">P13*P21/1000000000</f>
        <v>0.145872</v>
      </c>
      <c r="Q22" s="129" t="n">
        <f aca="false">Q13*Q21/1000000000</f>
        <v>0.145872</v>
      </c>
      <c r="R22" s="129" t="n">
        <f aca="false">R13*R21/1000000000</f>
        <v>0.145872</v>
      </c>
      <c r="S22" s="129" t="n">
        <f aca="false">S13*S21/1000000000</f>
        <v>0.145872</v>
      </c>
      <c r="T22" s="129" t="n">
        <f aca="false">T13*T21/1000000000</f>
        <v>0.145872</v>
      </c>
      <c r="U22" s="129" t="n">
        <f aca="false">U13*U21/1000000000</f>
        <v>0.145872</v>
      </c>
      <c r="V22" s="129" t="n">
        <f aca="false">V13*V21/1000000000</f>
        <v>0.145872</v>
      </c>
      <c r="W22" s="129" t="n">
        <f aca="false">W13*W21/1000000000</f>
        <v>0.145872</v>
      </c>
      <c r="X22" s="129" t="n">
        <f aca="false">X13*X21/1000000000</f>
        <v>0.15066</v>
      </c>
      <c r="Y22" s="129" t="n">
        <f aca="false">Y13*Y21/1000000000</f>
        <v>0.139536</v>
      </c>
    </row>
    <row r="23" customFormat="false" ht="15" hidden="false" customHeight="true" outlineLevel="0" collapsed="false">
      <c r="A23" s="15" t="s">
        <v>870</v>
      </c>
      <c r="B23" s="16" t="s">
        <v>867</v>
      </c>
      <c r="C23" s="129" t="n">
        <f aca="false">C18+C20+C22</f>
        <v>37.586352</v>
      </c>
      <c r="D23" s="129" t="n">
        <f aca="false">D18+D20+D22</f>
        <v>34.912032</v>
      </c>
      <c r="E23" s="129" t="n">
        <f aca="false">E18+E20+E22</f>
        <v>40.706392</v>
      </c>
      <c r="F23" s="129" t="n">
        <f aca="false">F18+F20+F22</f>
        <v>45.387468</v>
      </c>
      <c r="G23" s="129" t="n">
        <f aca="false">G18+G20+G22</f>
        <v>37.104</v>
      </c>
      <c r="H23" s="129" t="n">
        <f aca="false">H18+H20+H22</f>
        <v>35.884512</v>
      </c>
      <c r="I23" s="129" t="n">
        <f aca="false">I18+I20+I22</f>
        <v>39.288192</v>
      </c>
      <c r="J23" s="129" t="n">
        <f aca="false">J18+J20+J22</f>
        <v>37.586352</v>
      </c>
      <c r="K23" s="129" t="n">
        <f aca="false">K18+K20+K22</f>
        <v>37.586352</v>
      </c>
      <c r="L23" s="129" t="n">
        <f aca="false">L18+L20+L22</f>
        <v>37.586352</v>
      </c>
      <c r="M23" s="129" t="n">
        <f aca="false">M18+M20+M22</f>
        <v>37.586352</v>
      </c>
      <c r="N23" s="129" t="n">
        <f aca="false">N18+N20+N22</f>
        <v>37.586352</v>
      </c>
      <c r="O23" s="129" t="n">
        <f aca="false">O18+O20+O22</f>
        <v>37.586352</v>
      </c>
      <c r="P23" s="129" t="n">
        <f aca="false">P18+P20+P22</f>
        <v>37.586352</v>
      </c>
      <c r="Q23" s="129" t="n">
        <f aca="false">Q18+Q20+Q22</f>
        <v>37.586352</v>
      </c>
      <c r="R23" s="129" t="n">
        <f aca="false">R18+R20+R22</f>
        <v>37.586352</v>
      </c>
      <c r="S23" s="129" t="n">
        <f aca="false">S18+S20+S22</f>
        <v>37.586352</v>
      </c>
      <c r="T23" s="129" t="n">
        <f aca="false">T18+T20+T22</f>
        <v>37.586352</v>
      </c>
      <c r="U23" s="129" t="n">
        <f aca="false">U18+U20+U22</f>
        <v>37.586352</v>
      </c>
      <c r="V23" s="129" t="n">
        <f aca="false">V18+V20+V22</f>
        <v>37.586352</v>
      </c>
      <c r="W23" s="129" t="n">
        <f aca="false">W18+W20+W22</f>
        <v>37.586352</v>
      </c>
      <c r="X23" s="129" t="n">
        <f aca="false">X18+X20+X22</f>
        <v>38.82006</v>
      </c>
      <c r="Y23" s="129" t="n">
        <f aca="false">Y18+Y20+Y22</f>
        <v>35.953776</v>
      </c>
    </row>
    <row r="24" customFormat="false" ht="15" hidden="false" customHeight="true" outlineLevel="0" collapsed="false">
      <c r="A24" s="20" t="s">
        <v>113</v>
      </c>
      <c r="B24" s="16" t="s">
        <v>867</v>
      </c>
      <c r="C24" s="129" t="n">
        <f aca="false">C7*Inputs!$E$16/1000</f>
        <v>0.02</v>
      </c>
      <c r="D24" s="129" t="n">
        <f aca="false">D7*Inputs!$E$16/1000</f>
        <v>0.02</v>
      </c>
      <c r="E24" s="129" t="n">
        <f aca="false">E7*Inputs!$E$16/1000</f>
        <v>0.02</v>
      </c>
      <c r="F24" s="129" t="n">
        <f aca="false">F7*Inputs!$E$16/1000</f>
        <v>0.02</v>
      </c>
      <c r="G24" s="129" t="n">
        <f aca="false">G7*Inputs!$E$16/1000</f>
        <v>0.02</v>
      </c>
      <c r="H24" s="129" t="n">
        <f aca="false">H7*Inputs!$E$16/1000</f>
        <v>0.02</v>
      </c>
      <c r="I24" s="129" t="n">
        <f aca="false">I7*Inputs!$E$16/1000</f>
        <v>0.02</v>
      </c>
      <c r="J24" s="129" t="n">
        <f aca="false">J7*Inputs!$E$16/1000</f>
        <v>0.02</v>
      </c>
      <c r="K24" s="129" t="n">
        <f aca="false">K7*Inputs!$E$16/1000</f>
        <v>0.02</v>
      </c>
      <c r="L24" s="129" t="n">
        <f aca="false">L7*Inputs!$E$16/1000</f>
        <v>0.02</v>
      </c>
      <c r="M24" s="129" t="n">
        <f aca="false">M7*Inputs!$E$16/1000</f>
        <v>0.02</v>
      </c>
      <c r="N24" s="129" t="n">
        <f aca="false">N7*Inputs!$E$16/1000</f>
        <v>0.02</v>
      </c>
      <c r="O24" s="129" t="n">
        <f aca="false">O7*Inputs!$E$16/1000</f>
        <v>0.02</v>
      </c>
      <c r="P24" s="129" t="n">
        <f aca="false">P7*Inputs!$E$16/1000</f>
        <v>0.02</v>
      </c>
      <c r="Q24" s="129" t="n">
        <f aca="false">Q7*Inputs!$E$16/1000</f>
        <v>0.02</v>
      </c>
      <c r="R24" s="129" t="n">
        <f aca="false">R7*Inputs!$E$16/1000</f>
        <v>0.02</v>
      </c>
      <c r="S24" s="129" t="n">
        <f aca="false">S7*Inputs!$E$16/1000</f>
        <v>0.02</v>
      </c>
      <c r="T24" s="129" t="n">
        <f aca="false">T7*Inputs!$E$16/1000</f>
        <v>0.02</v>
      </c>
      <c r="U24" s="129" t="n">
        <f aca="false">U7*Inputs!$E$16/1000</f>
        <v>0.02</v>
      </c>
      <c r="V24" s="129" t="n">
        <f aca="false">V7*Inputs!$E$16/1000</f>
        <v>0.02</v>
      </c>
      <c r="W24" s="129" t="n">
        <f aca="false">W7*Inputs!$E$16/1000</f>
        <v>0.02</v>
      </c>
      <c r="X24" s="129" t="n">
        <f aca="false">X7*Inputs!$E$16/1000</f>
        <v>0.02</v>
      </c>
      <c r="Y24" s="129" t="n">
        <f aca="false">Y7*Inputs!$E$16/1000</f>
        <v>0.02</v>
      </c>
    </row>
    <row r="25" customFormat="false" ht="15" hidden="false" customHeight="true" outlineLevel="0" collapsed="false">
      <c r="A25" s="20" t="s">
        <v>871</v>
      </c>
      <c r="B25" s="16" t="s">
        <v>867</v>
      </c>
      <c r="C25" s="129" t="n">
        <f aca="false">C7*Inputs!$E$17/1000</f>
        <v>3.6</v>
      </c>
      <c r="D25" s="129" t="n">
        <f aca="false">D7*Inputs!$E$17/1000</f>
        <v>3.6</v>
      </c>
      <c r="E25" s="129" t="n">
        <f aca="false">E7*Inputs!$E$17/1000</f>
        <v>3.6</v>
      </c>
      <c r="F25" s="129" t="n">
        <f aca="false">F7*Inputs!$E$17/1000</f>
        <v>3.6</v>
      </c>
      <c r="G25" s="129" t="n">
        <f aca="false">G7*Inputs!$E$17/1000</f>
        <v>3.6</v>
      </c>
      <c r="H25" s="129" t="n">
        <f aca="false">H7*Inputs!$E$17/1000</f>
        <v>3.6</v>
      </c>
      <c r="I25" s="129" t="n">
        <f aca="false">I7*Inputs!$E$17/1000</f>
        <v>3.6</v>
      </c>
      <c r="J25" s="129" t="n">
        <f aca="false">J7*Inputs!$D$17/1000</f>
        <v>3</v>
      </c>
      <c r="K25" s="129" t="n">
        <f aca="false">K7*Inputs!$F$17/1000</f>
        <v>4.5</v>
      </c>
      <c r="L25" s="129" t="n">
        <f aca="false">L7*Inputs!$E$17/1000</f>
        <v>3.6</v>
      </c>
      <c r="M25" s="129" t="n">
        <f aca="false">M7*Inputs!$E$17/1000</f>
        <v>3.6</v>
      </c>
      <c r="N25" s="129" t="n">
        <f aca="false">N7*Inputs!$E$17/1000</f>
        <v>3.6</v>
      </c>
      <c r="O25" s="129" t="n">
        <f aca="false">O7*Inputs!$E$17/1000</f>
        <v>3.6</v>
      </c>
      <c r="P25" s="129" t="n">
        <f aca="false">P7*Inputs!$E$17/1000</f>
        <v>3.6</v>
      </c>
      <c r="Q25" s="129" t="n">
        <f aca="false">Q7*Inputs!$E$17/1000</f>
        <v>3.6</v>
      </c>
      <c r="R25" s="129" t="n">
        <f aca="false">R7*Inputs!$E$17/1000</f>
        <v>3.6</v>
      </c>
      <c r="S25" s="129" t="n">
        <f aca="false">S7*Inputs!$E$17/1000</f>
        <v>3.6</v>
      </c>
      <c r="T25" s="129" t="n">
        <f aca="false">T7*Inputs!$E$17/1000</f>
        <v>3.6</v>
      </c>
      <c r="U25" s="129" t="n">
        <f aca="false">U7*Inputs!$E$17/1000</f>
        <v>3.6</v>
      </c>
      <c r="V25" s="129" t="n">
        <f aca="false">V7*Inputs!$E$17/1000</f>
        <v>3.6</v>
      </c>
      <c r="W25" s="129" t="n">
        <f aca="false">W7*Inputs!$E$17/1000</f>
        <v>3.6</v>
      </c>
      <c r="X25" s="129" t="n">
        <f aca="false">X7*Inputs!$E$17/1000</f>
        <v>3.6</v>
      </c>
      <c r="Y25" s="129" t="n">
        <f aca="false">Y7*Inputs!$E$17/1000</f>
        <v>3.6</v>
      </c>
    </row>
    <row r="26" customFormat="false" ht="15" hidden="false" customHeight="true" outlineLevel="0" collapsed="false">
      <c r="A26" s="20" t="s">
        <v>872</v>
      </c>
      <c r="B26" s="16" t="s">
        <v>867</v>
      </c>
      <c r="C26" s="129" t="n">
        <f aca="false">C7*Inputs!$E$18/1000</f>
        <v>4.5</v>
      </c>
      <c r="D26" s="129" t="n">
        <f aca="false">D7*Inputs!$E$18/1000</f>
        <v>4.5</v>
      </c>
      <c r="E26" s="129" t="n">
        <f aca="false">E7*Inputs!$E$18/1000</f>
        <v>4.5</v>
      </c>
      <c r="F26" s="129" t="n">
        <f aca="false">F7*Inputs!$E$18/1000</f>
        <v>4.5</v>
      </c>
      <c r="G26" s="129" t="n">
        <f aca="false">G7*Inputs!$E$18/1000</f>
        <v>4.5</v>
      </c>
      <c r="H26" s="129" t="n">
        <f aca="false">H7*Inputs!$E$18/1000</f>
        <v>4.5</v>
      </c>
      <c r="I26" s="129" t="n">
        <f aca="false">I7*Inputs!$E$18/1000</f>
        <v>4.5</v>
      </c>
      <c r="J26" s="129" t="n">
        <f aca="false">J7*Inputs!$E$18/1000</f>
        <v>4.5</v>
      </c>
      <c r="K26" s="129" t="n">
        <f aca="false">K7*Inputs!$E$18/1000</f>
        <v>4.5</v>
      </c>
      <c r="L26" s="129" t="n">
        <f aca="false">L7*Inputs!$D$18/1000</f>
        <v>3.8</v>
      </c>
      <c r="M26" s="129" t="n">
        <f aca="false">M7*Inputs!$F$18/1000</f>
        <v>5.5</v>
      </c>
      <c r="N26" s="129" t="n">
        <f aca="false">N7*Inputs!$E$18/1000</f>
        <v>4.5</v>
      </c>
      <c r="O26" s="129" t="n">
        <f aca="false">O7*Inputs!$E$18/1000</f>
        <v>4.5</v>
      </c>
      <c r="P26" s="129" t="n">
        <f aca="false">P7*Inputs!$E$18/1000</f>
        <v>4.5</v>
      </c>
      <c r="Q26" s="129" t="n">
        <f aca="false">Q7*Inputs!$E$18/1000</f>
        <v>4.5</v>
      </c>
      <c r="R26" s="129" t="n">
        <f aca="false">R7*Inputs!$E$18/1000</f>
        <v>4.5</v>
      </c>
      <c r="S26" s="129" t="n">
        <f aca="false">S7*Inputs!$E$18/1000</f>
        <v>4.5</v>
      </c>
      <c r="T26" s="129" t="n">
        <f aca="false">T7*Inputs!$E$18/1000</f>
        <v>4.5</v>
      </c>
      <c r="U26" s="129" t="n">
        <f aca="false">U7*Inputs!$E$18/1000</f>
        <v>4.5</v>
      </c>
      <c r="V26" s="129" t="n">
        <f aca="false">V7*Inputs!$E$18/1000</f>
        <v>4.5</v>
      </c>
      <c r="W26" s="129" t="n">
        <f aca="false">W7*Inputs!$E$18/1000</f>
        <v>4.5</v>
      </c>
      <c r="X26" s="129" t="n">
        <f aca="false">X7*Inputs!$E$18/1000</f>
        <v>4.5</v>
      </c>
      <c r="Y26" s="129" t="n">
        <f aca="false">Y7*Inputs!$E$18/1000</f>
        <v>4.5</v>
      </c>
    </row>
    <row r="27" customFormat="false" ht="15" hidden="false" customHeight="true" outlineLevel="0" collapsed="false">
      <c r="A27" s="20" t="s">
        <v>873</v>
      </c>
      <c r="B27" s="16" t="s">
        <v>867</v>
      </c>
      <c r="C27" s="129" t="n">
        <f aca="false">C7*Inputs!$E$19/1000</f>
        <v>2.5</v>
      </c>
      <c r="D27" s="129" t="n">
        <f aca="false">D7*Inputs!$E$19/1000</f>
        <v>2.5</v>
      </c>
      <c r="E27" s="129" t="n">
        <f aca="false">E7*Inputs!$E$19/1000</f>
        <v>2.5</v>
      </c>
      <c r="F27" s="129" t="n">
        <f aca="false">F7*Inputs!$E$19/1000</f>
        <v>2.5</v>
      </c>
      <c r="G27" s="129" t="n">
        <f aca="false">G7*Inputs!$E$19/1000</f>
        <v>2.5</v>
      </c>
      <c r="H27" s="129" t="n">
        <f aca="false">H7*Inputs!$E$19/1000</f>
        <v>2.5</v>
      </c>
      <c r="I27" s="129" t="n">
        <f aca="false">I7*Inputs!$E$19/1000</f>
        <v>2.5</v>
      </c>
      <c r="J27" s="129" t="n">
        <f aca="false">J7*Inputs!$E$19/1000</f>
        <v>2.5</v>
      </c>
      <c r="K27" s="129" t="n">
        <f aca="false">K7*Inputs!$E$19/1000</f>
        <v>2.5</v>
      </c>
      <c r="L27" s="129" t="n">
        <f aca="false">L7*Inputs!$E$19/1000</f>
        <v>2.5</v>
      </c>
      <c r="M27" s="129" t="n">
        <f aca="false">M7*Inputs!$E$19/1000</f>
        <v>2.5</v>
      </c>
      <c r="N27" s="129" t="n">
        <f aca="false">N7*Inputs!$E$19/1000</f>
        <v>2.5</v>
      </c>
      <c r="O27" s="129" t="n">
        <f aca="false">O7*Inputs!$E$19/1000</f>
        <v>2.5</v>
      </c>
      <c r="P27" s="129" t="n">
        <f aca="false">P7*Inputs!$E$19/1000</f>
        <v>2.5</v>
      </c>
      <c r="Q27" s="129" t="n">
        <f aca="false">Q7*Inputs!$E$19/1000</f>
        <v>2.5</v>
      </c>
      <c r="R27" s="129" t="n">
        <f aca="false">R7*Inputs!$E$19/1000</f>
        <v>2.5</v>
      </c>
      <c r="S27" s="129" t="n">
        <f aca="false">S7*Inputs!$E$19/1000</f>
        <v>2.5</v>
      </c>
      <c r="T27" s="129" t="n">
        <f aca="false">T7*Inputs!$E$19/1000</f>
        <v>2.5</v>
      </c>
      <c r="U27" s="129" t="n">
        <f aca="false">U7*Inputs!$E$19/1000</f>
        <v>2.5</v>
      </c>
      <c r="V27" s="129" t="n">
        <f aca="false">V7*Inputs!$E$19/1000</f>
        <v>2.5</v>
      </c>
      <c r="W27" s="129" t="n">
        <f aca="false">W7*Inputs!$E$19/1000</f>
        <v>2.5</v>
      </c>
      <c r="X27" s="129" t="n">
        <f aca="false">X7*Inputs!$E$19/1000</f>
        <v>2.5</v>
      </c>
      <c r="Y27" s="129" t="n">
        <f aca="false">Y7*Inputs!$E$19/1000</f>
        <v>2.5</v>
      </c>
    </row>
    <row r="28" customFormat="false" ht="15" hidden="false" customHeight="true" outlineLevel="0" collapsed="false">
      <c r="A28" s="20" t="s">
        <v>874</v>
      </c>
      <c r="B28" s="16" t="s">
        <v>867</v>
      </c>
      <c r="C28" s="129" t="n">
        <f aca="false">C7*Inputs!$E$20/1000</f>
        <v>0.4</v>
      </c>
      <c r="D28" s="129" t="n">
        <f aca="false">D7*Inputs!$E$20/1000</f>
        <v>0.4</v>
      </c>
      <c r="E28" s="129" t="n">
        <f aca="false">E7*Inputs!$E$20/1000</f>
        <v>0.4</v>
      </c>
      <c r="F28" s="129" t="n">
        <f aca="false">F7*Inputs!$E$20/1000</f>
        <v>0.4</v>
      </c>
      <c r="G28" s="129" t="n">
        <f aca="false">G7*Inputs!$E$20/1000</f>
        <v>0.4</v>
      </c>
      <c r="H28" s="129" t="n">
        <f aca="false">H7*Inputs!$E$20/1000</f>
        <v>0.4</v>
      </c>
      <c r="I28" s="129" t="n">
        <f aca="false">I7*Inputs!$E$20/1000</f>
        <v>0.4</v>
      </c>
      <c r="J28" s="129" t="n">
        <f aca="false">J7*Inputs!$E$20/1000</f>
        <v>0.4</v>
      </c>
      <c r="K28" s="129" t="n">
        <f aca="false">K7*Inputs!$E$20/1000</f>
        <v>0.4</v>
      </c>
      <c r="L28" s="129" t="n">
        <f aca="false">L7*Inputs!$E$20/1000</f>
        <v>0.4</v>
      </c>
      <c r="M28" s="129" t="n">
        <f aca="false">M7*Inputs!$E$20/1000</f>
        <v>0.4</v>
      </c>
      <c r="N28" s="129" t="n">
        <f aca="false">N7*Inputs!$E$20/1000</f>
        <v>0.4</v>
      </c>
      <c r="O28" s="129" t="n">
        <f aca="false">O7*Inputs!$E$20/1000</f>
        <v>0.4</v>
      </c>
      <c r="P28" s="129" t="n">
        <f aca="false">P7*Inputs!$E$20/1000</f>
        <v>0.4</v>
      </c>
      <c r="Q28" s="129" t="n">
        <f aca="false">Q7*Inputs!$E$20/1000</f>
        <v>0.4</v>
      </c>
      <c r="R28" s="129" t="n">
        <f aca="false">R7*Inputs!$E$20/1000</f>
        <v>0.4</v>
      </c>
      <c r="S28" s="129" t="n">
        <f aca="false">S7*Inputs!$E$20/1000</f>
        <v>0.4</v>
      </c>
      <c r="T28" s="129" t="n">
        <f aca="false">T7*Inputs!$E$20/1000</f>
        <v>0.4</v>
      </c>
      <c r="U28" s="129" t="n">
        <f aca="false">U7*Inputs!$E$20/1000</f>
        <v>0.4</v>
      </c>
      <c r="V28" s="129" t="n">
        <f aca="false">V7*Inputs!$E$20/1000</f>
        <v>0.4</v>
      </c>
      <c r="W28" s="129" t="n">
        <f aca="false">W7*Inputs!$E$20/1000</f>
        <v>0.4</v>
      </c>
      <c r="X28" s="129" t="n">
        <f aca="false">X7*Inputs!$E$20/1000</f>
        <v>0.4</v>
      </c>
      <c r="Y28" s="129" t="n">
        <f aca="false">Y7*Inputs!$E$20/1000</f>
        <v>0.4</v>
      </c>
    </row>
    <row r="29" customFormat="false" ht="15" hidden="false" customHeight="true" outlineLevel="0" collapsed="false">
      <c r="A29" s="20" t="s">
        <v>875</v>
      </c>
      <c r="B29" s="16" t="s">
        <v>93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123</v>
      </c>
      <c r="B30" s="16" t="s">
        <v>867</v>
      </c>
      <c r="C30" s="129" t="n">
        <f aca="false">(C25+C26+C27+C28)*C29</f>
        <v>1.65</v>
      </c>
      <c r="D30" s="129" t="n">
        <f aca="false">(D25+D26+D27+D28)*D29</f>
        <v>1.65</v>
      </c>
      <c r="E30" s="129" t="n">
        <f aca="false">(E25+E26+E27+E28)*E29</f>
        <v>1.65</v>
      </c>
      <c r="F30" s="129" t="n">
        <f aca="false">(F25+F26+F27+F28)*F29</f>
        <v>1.65</v>
      </c>
      <c r="G30" s="129" t="n">
        <f aca="false">(G25+G26+G27+G28)*G29</f>
        <v>1.65</v>
      </c>
      <c r="H30" s="129" t="n">
        <f aca="false">(H25+H26+H27+H28)*H29</f>
        <v>1.65</v>
      </c>
      <c r="I30" s="129" t="n">
        <f aca="false">(I25+I26+I27+I28)*I29</f>
        <v>1.65</v>
      </c>
      <c r="J30" s="129" t="n">
        <f aca="false">(J25+J26+J27+J28)*J29</f>
        <v>1.56</v>
      </c>
      <c r="K30" s="129" t="n">
        <f aca="false">(K25+K26+K27+K28)*K29</f>
        <v>1.785</v>
      </c>
      <c r="L30" s="129" t="n">
        <f aca="false">(L25+L26+L27+L28)*L29</f>
        <v>1.545</v>
      </c>
      <c r="M30" s="129" t="n">
        <f aca="false">(M25+M26+M27+M28)*M29</f>
        <v>1.8</v>
      </c>
      <c r="N30" s="129" t="n">
        <f aca="false">(N25+N26+N27+N28)*N29</f>
        <v>1.65</v>
      </c>
      <c r="O30" s="129" t="n">
        <f aca="false">(O25+O26+O27+O28)*O29</f>
        <v>1.65</v>
      </c>
      <c r="P30" s="129" t="n">
        <f aca="false">(P25+P26+P27+P28)*P29</f>
        <v>1.65</v>
      </c>
      <c r="Q30" s="129" t="n">
        <f aca="false">(Q25+Q26+Q27+Q28)*Q29</f>
        <v>1.65</v>
      </c>
      <c r="R30" s="129" t="n">
        <f aca="false">(R25+R26+R27+R28)*R29</f>
        <v>1.65</v>
      </c>
      <c r="S30" s="129" t="n">
        <f aca="false">(S25+S26+S27+S28)*S29</f>
        <v>1.65</v>
      </c>
      <c r="T30" s="129" t="n">
        <f aca="false">(T25+T26+T27+T28)*T29</f>
        <v>1.65</v>
      </c>
      <c r="U30" s="129" t="n">
        <f aca="false">(U25+U26+U27+U28)*U29</f>
        <v>1.65</v>
      </c>
      <c r="V30" s="129" t="n">
        <f aca="false">(V25+V26+V27+V28)*V29</f>
        <v>1.65</v>
      </c>
      <c r="W30" s="129" t="n">
        <f aca="false">(W25+W26+W27+W28)*W29</f>
        <v>1.65</v>
      </c>
      <c r="X30" s="129" t="n">
        <f aca="false">(X25+X26+X27+X28)*X29</f>
        <v>1.65</v>
      </c>
      <c r="Y30" s="129" t="n">
        <f aca="false">(Y25+Y26+Y27+Y28)*Y29</f>
        <v>1.65</v>
      </c>
    </row>
    <row r="31" customFormat="false" ht="15" hidden="false" customHeight="true" outlineLevel="0" collapsed="false">
      <c r="A31" s="20" t="s">
        <v>876</v>
      </c>
      <c r="B31" s="16" t="s">
        <v>867</v>
      </c>
      <c r="C31" s="129" t="n">
        <f aca="false">C24+C25+C26+C27+C28+C30</f>
        <v>12.67</v>
      </c>
      <c r="D31" s="129" t="n">
        <f aca="false">D24+D25+D26+D27+D28+D30</f>
        <v>12.67</v>
      </c>
      <c r="E31" s="129" t="n">
        <f aca="false">E24+E25+E26+E27+E28+E30</f>
        <v>12.67</v>
      </c>
      <c r="F31" s="129" t="n">
        <f aca="false">F24+F25+F26+F27+F28+F30</f>
        <v>12.67</v>
      </c>
      <c r="G31" s="129" t="n">
        <f aca="false">G24+G25+G26+G27+G28+G30</f>
        <v>12.67</v>
      </c>
      <c r="H31" s="129" t="n">
        <f aca="false">H24+H25+H26+H27+H28+H30</f>
        <v>12.67</v>
      </c>
      <c r="I31" s="129" t="n">
        <f aca="false">I24+I25+I26+I27+I28+I30</f>
        <v>12.67</v>
      </c>
      <c r="J31" s="129" t="n">
        <f aca="false">J24+J25+J26+J27+J28+J30</f>
        <v>11.98</v>
      </c>
      <c r="K31" s="129" t="n">
        <f aca="false">K24+K25+K26+K27+K28+K30</f>
        <v>13.705</v>
      </c>
      <c r="L31" s="129" t="n">
        <f aca="false">L24+L25+L26+L27+L28+L30</f>
        <v>11.865</v>
      </c>
      <c r="M31" s="129" t="n">
        <f aca="false">M24+M25+M26+M27+M28+M30</f>
        <v>13.82</v>
      </c>
      <c r="N31" s="129" t="n">
        <f aca="false">N24+N25+N26+N27+N28+N30</f>
        <v>12.67</v>
      </c>
      <c r="O31" s="129" t="n">
        <f aca="false">O24+O25+O26+O27+O28+O30</f>
        <v>12.67</v>
      </c>
      <c r="P31" s="129" t="n">
        <f aca="false">P24+P25+P26+P27+P28+P30</f>
        <v>12.67</v>
      </c>
      <c r="Q31" s="129" t="n">
        <f aca="false">Q24+Q25+Q26+Q27+Q28+Q30</f>
        <v>12.67</v>
      </c>
      <c r="R31" s="129" t="n">
        <f aca="false">R24+R25+R26+R27+R28+R30</f>
        <v>12.67</v>
      </c>
      <c r="S31" s="129" t="n">
        <f aca="false">S24+S25+S26+S27+S28+S30</f>
        <v>12.67</v>
      </c>
      <c r="T31" s="129" t="n">
        <f aca="false">T24+T25+T26+T27+T28+T30</f>
        <v>12.67</v>
      </c>
      <c r="U31" s="129" t="n">
        <f aca="false">U24+U25+U26+U27+U28+U30</f>
        <v>12.67</v>
      </c>
      <c r="V31" s="129" t="n">
        <f aca="false">V24+V25+V26+V27+V28+V30</f>
        <v>12.67</v>
      </c>
      <c r="W31" s="129" t="n">
        <f aca="false">W24+W25+W26+W27+W28+W30</f>
        <v>12.67</v>
      </c>
      <c r="X31" s="129" t="n">
        <f aca="false">X24+X25+X26+X27+X28+X30</f>
        <v>12.67</v>
      </c>
      <c r="Y31" s="129" t="n">
        <f aca="false">Y24+Y25+Y26+Y27+Y28+Y30</f>
        <v>12.67</v>
      </c>
    </row>
    <row r="32" customFormat="false" ht="15" hidden="false" customHeight="true" outlineLevel="0" collapsed="false">
      <c r="A32" s="20" t="s">
        <v>3473</v>
      </c>
      <c r="B32" s="16" t="s">
        <v>867</v>
      </c>
      <c r="C32" s="130" t="n">
        <f aca="false">C23+C31</f>
        <v>50.256352</v>
      </c>
      <c r="D32" s="130" t="n">
        <f aca="false">D23+D31</f>
        <v>47.582032</v>
      </c>
      <c r="E32" s="130" t="n">
        <f aca="false">E23+E31</f>
        <v>53.376392</v>
      </c>
      <c r="F32" s="130" t="n">
        <f aca="false">F23+F31</f>
        <v>58.057468</v>
      </c>
      <c r="G32" s="130" t="n">
        <f aca="false">G23+G31</f>
        <v>49.774</v>
      </c>
      <c r="H32" s="130" t="n">
        <f aca="false">H23+H31</f>
        <v>48.554512</v>
      </c>
      <c r="I32" s="130" t="n">
        <f aca="false">I23+I31</f>
        <v>51.958192</v>
      </c>
      <c r="J32" s="130" t="n">
        <f aca="false">J23+J31</f>
        <v>49.566352</v>
      </c>
      <c r="K32" s="130" t="n">
        <f aca="false">K23+K31</f>
        <v>51.291352</v>
      </c>
      <c r="L32" s="130" t="n">
        <f aca="false">L23+L31</f>
        <v>49.451352</v>
      </c>
      <c r="M32" s="130" t="n">
        <f aca="false">M23+M31</f>
        <v>51.406352</v>
      </c>
      <c r="N32" s="130" t="n">
        <f aca="false">N23+N31</f>
        <v>50.256352</v>
      </c>
      <c r="O32" s="130" t="n">
        <f aca="false">O23+O31</f>
        <v>50.256352</v>
      </c>
      <c r="P32" s="130" t="n">
        <f aca="false">P23+P31</f>
        <v>50.256352</v>
      </c>
      <c r="Q32" s="130" t="n">
        <f aca="false">Q23+Q31</f>
        <v>50.256352</v>
      </c>
      <c r="R32" s="130" t="n">
        <f aca="false">R23+R31</f>
        <v>50.256352</v>
      </c>
      <c r="S32" s="130" t="n">
        <f aca="false">S23+S31</f>
        <v>50.256352</v>
      </c>
      <c r="T32" s="130" t="n">
        <f aca="false">T23+T31</f>
        <v>50.256352</v>
      </c>
      <c r="U32" s="130" t="n">
        <f aca="false">U23+U31</f>
        <v>50.256352</v>
      </c>
      <c r="V32" s="130" t="n">
        <f aca="false">V23+V31</f>
        <v>50.256352</v>
      </c>
      <c r="W32" s="130" t="n">
        <f aca="false">W23+W31</f>
        <v>50.256352</v>
      </c>
      <c r="X32" s="130" t="n">
        <f aca="false">X23+X31</f>
        <v>51.49006</v>
      </c>
      <c r="Y32" s="130" t="n">
        <f aca="false">Y23+Y31</f>
        <v>48.623776</v>
      </c>
    </row>
    <row r="33" customFormat="false" ht="15" hidden="false" customHeight="true" outlineLevel="0" collapsed="false">
      <c r="A33" s="20" t="s">
        <v>878</v>
      </c>
      <c r="B33" s="16" t="s">
        <v>879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880</v>
      </c>
      <c r="B34" s="16" t="s">
        <v>865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881</v>
      </c>
      <c r="B35" s="16" t="s">
        <v>865</v>
      </c>
      <c r="C35" s="129" t="n">
        <f aca="false">C31*1000/C7</f>
        <v>12.67</v>
      </c>
      <c r="D35" s="129" t="n">
        <f aca="false">D31*1000/D7</f>
        <v>12.67</v>
      </c>
      <c r="E35" s="129" t="n">
        <f aca="false">E31*1000/E7</f>
        <v>12.67</v>
      </c>
      <c r="F35" s="129" t="n">
        <f aca="false">F31*1000/F7</f>
        <v>12.67</v>
      </c>
      <c r="G35" s="129" t="n">
        <f aca="false">G31*1000/G7</f>
        <v>12.67</v>
      </c>
      <c r="H35" s="129" t="n">
        <f aca="false">H31*1000/H7</f>
        <v>12.67</v>
      </c>
      <c r="I35" s="129" t="n">
        <f aca="false">I31*1000/I7</f>
        <v>12.67</v>
      </c>
      <c r="J35" s="129" t="n">
        <f aca="false">J31*1000/J7</f>
        <v>11.98</v>
      </c>
      <c r="K35" s="129" t="n">
        <f aca="false">K31*1000/K7</f>
        <v>13.705</v>
      </c>
      <c r="L35" s="129" t="n">
        <f aca="false">L31*1000/L7</f>
        <v>11.865</v>
      </c>
      <c r="M35" s="129" t="n">
        <f aca="false">M31*1000/M7</f>
        <v>13.82</v>
      </c>
      <c r="N35" s="129" t="n">
        <f aca="false">N31*1000/N7</f>
        <v>12.67</v>
      </c>
      <c r="O35" s="129" t="n">
        <f aca="false">O31*1000/O7</f>
        <v>12.67</v>
      </c>
      <c r="P35" s="129" t="n">
        <f aca="false">P31*1000/P7</f>
        <v>12.67</v>
      </c>
      <c r="Q35" s="129" t="n">
        <f aca="false">Q31*1000/Q7</f>
        <v>12.67</v>
      </c>
      <c r="R35" s="129" t="n">
        <f aca="false">R31*1000/R7</f>
        <v>12.67</v>
      </c>
      <c r="S35" s="129" t="n">
        <f aca="false">S31*1000/S7</f>
        <v>12.67</v>
      </c>
      <c r="T35" s="129" t="n">
        <f aca="false">T31*1000/T7</f>
        <v>12.67</v>
      </c>
      <c r="U35" s="129" t="n">
        <f aca="false">U31*1000/U7</f>
        <v>12.67</v>
      </c>
      <c r="V35" s="129" t="n">
        <f aca="false">V31*1000/V7</f>
        <v>12.67</v>
      </c>
      <c r="W35" s="129" t="n">
        <f aca="false">W31*1000/W7</f>
        <v>12.67</v>
      </c>
      <c r="X35" s="129" t="n">
        <f aca="false">X31*1000/X7</f>
        <v>12.67</v>
      </c>
      <c r="Y35" s="129" t="n">
        <f aca="false">Y31*1000/Y7</f>
        <v>12.67</v>
      </c>
    </row>
    <row r="36" customFormat="false" ht="15" hidden="false" customHeight="true" outlineLevel="0" collapsed="false">
      <c r="A36" s="25" t="s">
        <v>3474</v>
      </c>
      <c r="B36" s="14"/>
      <c r="C36" s="14"/>
    </row>
    <row r="37" customFormat="false" ht="15" hidden="false" customHeight="true" outlineLevel="0" collapsed="false">
      <c r="A37" s="15" t="s">
        <v>883</v>
      </c>
      <c r="B37" s="21" t="s">
        <v>128</v>
      </c>
      <c r="C37" s="131" t="n">
        <f aca="false">Inputs!$E$23</f>
        <v>6</v>
      </c>
      <c r="D37" s="131" t="n">
        <f aca="false">Inputs!$E$23</f>
        <v>6</v>
      </c>
      <c r="E37" s="131" t="n">
        <f aca="false">Inputs!$E$23</f>
        <v>6</v>
      </c>
      <c r="F37" s="131" t="n">
        <f aca="false">Inputs!$E$23</f>
        <v>6</v>
      </c>
      <c r="G37" s="131" t="n">
        <f aca="false">Inputs!$E$23</f>
        <v>6</v>
      </c>
      <c r="H37" s="131" t="n">
        <f aca="false">Inputs!$E$23</f>
        <v>6</v>
      </c>
      <c r="I37" s="131" t="n">
        <f aca="false">Inputs!$E$23</f>
        <v>6</v>
      </c>
      <c r="J37" s="131" t="n">
        <f aca="false">Inputs!$E$23</f>
        <v>6</v>
      </c>
      <c r="K37" s="131" t="n">
        <f aca="false">Inputs!$E$23</f>
        <v>6</v>
      </c>
      <c r="L37" s="131" t="n">
        <f aca="false">Inputs!$E$23</f>
        <v>6</v>
      </c>
      <c r="M37" s="131" t="n">
        <f aca="false">Inputs!$E$23</f>
        <v>6</v>
      </c>
      <c r="N37" s="211" t="n">
        <v>7</v>
      </c>
      <c r="O37" s="131" t="n">
        <f aca="false">Inputs!$F$23</f>
        <v>4</v>
      </c>
      <c r="P37" s="131" t="n">
        <f aca="false">Inputs!$E$23</f>
        <v>6</v>
      </c>
      <c r="Q37" s="131" t="n">
        <f aca="false">Inputs!$E$23</f>
        <v>6</v>
      </c>
      <c r="R37" s="131" t="n">
        <f aca="false">Inputs!$E$23</f>
        <v>6</v>
      </c>
      <c r="S37" s="131" t="n">
        <f aca="false">Inputs!$E$23</f>
        <v>6</v>
      </c>
      <c r="T37" s="131" t="n">
        <f aca="false">Inputs!$E$23</f>
        <v>6</v>
      </c>
      <c r="U37" s="131" t="n">
        <f aca="false">Inputs!$E$23</f>
        <v>6</v>
      </c>
      <c r="V37" s="131" t="n">
        <f aca="false">Inputs!$E$23</f>
        <v>6</v>
      </c>
      <c r="W37" s="131" t="n">
        <f aca="false">Inputs!$E$23</f>
        <v>6</v>
      </c>
      <c r="X37" s="131" t="n">
        <f aca="false">Inputs!$E$23</f>
        <v>6</v>
      </c>
      <c r="Y37" s="131" t="n">
        <f aca="false">Inputs!$E$23</f>
        <v>6</v>
      </c>
    </row>
    <row r="38" customFormat="false" ht="15" hidden="false" customHeight="true" outlineLevel="0" collapsed="false">
      <c r="A38" s="15" t="s">
        <v>884</v>
      </c>
      <c r="B38" s="16" t="s">
        <v>867</v>
      </c>
      <c r="C38" s="129" t="n">
        <f aca="false">C23/C37</f>
        <v>6.264392</v>
      </c>
      <c r="D38" s="129" t="n">
        <f aca="false">D23/D37</f>
        <v>5.818672</v>
      </c>
      <c r="E38" s="129" t="n">
        <f aca="false">E23/E37</f>
        <v>6.78439866666667</v>
      </c>
      <c r="F38" s="129" t="n">
        <f aca="false">F23/F37</f>
        <v>7.564578</v>
      </c>
      <c r="G38" s="129" t="n">
        <f aca="false">G23/G37</f>
        <v>6.184</v>
      </c>
      <c r="H38" s="129" t="n">
        <f aca="false">H23/H37</f>
        <v>5.980752</v>
      </c>
      <c r="I38" s="129" t="n">
        <f aca="false">I23/I37</f>
        <v>6.548032</v>
      </c>
      <c r="J38" s="129" t="n">
        <f aca="false">J23/J37</f>
        <v>6.264392</v>
      </c>
      <c r="K38" s="129" t="n">
        <f aca="false">K23/K37</f>
        <v>6.264392</v>
      </c>
      <c r="L38" s="129" t="n">
        <f aca="false">L23/L37</f>
        <v>6.264392</v>
      </c>
      <c r="M38" s="129" t="n">
        <f aca="false">M23/M37</f>
        <v>6.264392</v>
      </c>
      <c r="N38" s="129" t="n">
        <f aca="false">N23/N37</f>
        <v>5.36947885714286</v>
      </c>
      <c r="O38" s="129" t="n">
        <f aca="false">O23/O37</f>
        <v>9.396588</v>
      </c>
      <c r="P38" s="129" t="n">
        <f aca="false">P23/P37</f>
        <v>6.264392</v>
      </c>
      <c r="Q38" s="129" t="n">
        <f aca="false">Q23/Q37</f>
        <v>6.264392</v>
      </c>
      <c r="R38" s="129" t="n">
        <f aca="false">R23/R37</f>
        <v>6.264392</v>
      </c>
      <c r="S38" s="129" t="n">
        <f aca="false">S23/S37</f>
        <v>6.264392</v>
      </c>
      <c r="T38" s="129" t="n">
        <f aca="false">T23/T37</f>
        <v>6.264392</v>
      </c>
      <c r="U38" s="129" t="n">
        <f aca="false">U23/U37</f>
        <v>6.264392</v>
      </c>
      <c r="V38" s="129" t="n">
        <f aca="false">V23/V37</f>
        <v>6.264392</v>
      </c>
      <c r="W38" s="129" t="n">
        <f aca="false">W23/W37</f>
        <v>6.264392</v>
      </c>
      <c r="X38" s="129" t="n">
        <f aca="false">X23/X37</f>
        <v>6.47001</v>
      </c>
      <c r="Y38" s="129" t="n">
        <f aca="false">Y23/Y37</f>
        <v>5.992296</v>
      </c>
    </row>
    <row r="39" customFormat="false" ht="15" hidden="false" customHeight="true" outlineLevel="0" collapsed="false">
      <c r="A39" s="20" t="s">
        <v>885</v>
      </c>
      <c r="B39" s="16" t="s">
        <v>867</v>
      </c>
      <c r="C39" s="129" t="n">
        <f aca="false">(C25/Inputs!$E$24+C26/Inputs!$E$25+C27/Inputs!$E$26+C28/Inputs!$E$27)*(1+C29)</f>
        <v>0.634416666666667</v>
      </c>
      <c r="D39" s="129" t="n">
        <f aca="false">(D25/Inputs!$E$24+D26/Inputs!$E$25+D27/Inputs!$E$26+D28/Inputs!$E$27)*(1+D29)</f>
        <v>0.634416666666667</v>
      </c>
      <c r="E39" s="129" t="n">
        <f aca="false">(E25/Inputs!$E$24+E26/Inputs!$E$25+E27/Inputs!$E$26+E28/Inputs!$E$27)*(1+E29)</f>
        <v>0.634416666666667</v>
      </c>
      <c r="F39" s="129" t="n">
        <f aca="false">(F25/Inputs!$E$24+F26/Inputs!$E$25+F27/Inputs!$E$26+F28/Inputs!$E$27)*(1+F29)</f>
        <v>0.634416666666667</v>
      </c>
      <c r="G39" s="129" t="n">
        <f aca="false">(G25/Inputs!$E$24+G26/Inputs!$E$25+G27/Inputs!$E$26+G28/Inputs!$E$27)*(1+G29)</f>
        <v>0.634416666666667</v>
      </c>
      <c r="H39" s="129" t="n">
        <f aca="false">(H25/Inputs!$E$24+H26/Inputs!$E$25+H27/Inputs!$E$26+H28/Inputs!$E$27)*(1+H29)</f>
        <v>0.634416666666667</v>
      </c>
      <c r="I39" s="129" t="n">
        <f aca="false">(I25/Inputs!$E$24+I26/Inputs!$E$25+I27/Inputs!$E$26+I28/Inputs!$E$27)*(1+I29)</f>
        <v>0.634416666666667</v>
      </c>
      <c r="J39" s="129" t="n">
        <f aca="false">(J25/Inputs!$E$24+J26/Inputs!$E$25+J27/Inputs!$E$26+J28/Inputs!$E$27)*(1+J29)</f>
        <v>0.611416666666667</v>
      </c>
      <c r="K39" s="129" t="n">
        <f aca="false">(K25/Inputs!$E$24+K26/Inputs!$E$25+K27/Inputs!$E$26+K28/Inputs!$E$27)*(1+K29)</f>
        <v>0.668916666666667</v>
      </c>
      <c r="L39" s="129" t="n">
        <f aca="false">(L25/Inputs!$E$24+L26/Inputs!$E$25+L27/Inputs!$E$26+L28/Inputs!$E$27)*(1+L29)</f>
        <v>0.594166666666667</v>
      </c>
      <c r="M39" s="129" t="n">
        <f aca="false">(M25/Inputs!$E$24+M26/Inputs!$E$25+M27/Inputs!$E$26+M28/Inputs!$E$27)*(1+M29)</f>
        <v>0.691916666666667</v>
      </c>
      <c r="N39" s="129" t="n">
        <f aca="false">(N25/Inputs!$E$24+N26/Inputs!$E$25+N27/Inputs!$E$26+N28/Inputs!$E$27)*(1+N29)</f>
        <v>0.634416666666667</v>
      </c>
      <c r="O39" s="129" t="n">
        <f aca="false">(O25/Inputs!$E$24+O26/Inputs!$E$25+O27/Inputs!$E$26+O28/Inputs!$E$27)*(1+O29)</f>
        <v>0.634416666666667</v>
      </c>
      <c r="P39" s="129" t="n">
        <f aca="false">(P25/Inputs!$E$24+P26/Inputs!$E$25+P27/Inputs!$E$26+P28/Inputs!$E$27)*(1+P29)</f>
        <v>0.634416666666667</v>
      </c>
      <c r="Q39" s="129" t="n">
        <f aca="false">(Q25/Inputs!$E$24+Q26/Inputs!$E$25+Q27/Inputs!$E$26+Q28/Inputs!$E$27)*(1+Q29)</f>
        <v>0.634416666666667</v>
      </c>
      <c r="R39" s="129" t="n">
        <f aca="false">(R25/Inputs!$E$24+R26/Inputs!$E$25+R27/Inputs!$E$26+R28/Inputs!$E$27)*(1+R29)</f>
        <v>0.634416666666667</v>
      </c>
      <c r="S39" s="129" t="n">
        <f aca="false">(S25/Inputs!$E$24+S26/Inputs!$E$25+S27/Inputs!$E$26+S28/Inputs!$E$27)*(1+S29)</f>
        <v>0.634416666666667</v>
      </c>
      <c r="T39" s="129" t="n">
        <f aca="false">(T25/Inputs!$E$24+T26/Inputs!$E$25+T27/Inputs!$E$26+T28/Inputs!$E$27)*(1+T29)</f>
        <v>0.634416666666667</v>
      </c>
      <c r="U39" s="129" t="n">
        <f aca="false">(U25/Inputs!$E$24+U26/Inputs!$E$25+U27/Inputs!$E$26+U28/Inputs!$E$27)*(1+U29)</f>
        <v>0.634416666666667</v>
      </c>
      <c r="V39" s="129" t="n">
        <f aca="false">(V25/Inputs!$E$24+V26/Inputs!$E$25+V27/Inputs!$E$26+V28/Inputs!$E$27)*(1+V29)</f>
        <v>0.634416666666667</v>
      </c>
      <c r="W39" s="129" t="n">
        <f aca="false">(W25/Inputs!$E$24+W26/Inputs!$E$25+W27/Inputs!$E$26+W28/Inputs!$E$27)*(1+W29)</f>
        <v>0.634416666666667</v>
      </c>
      <c r="X39" s="129" t="n">
        <f aca="false">(X25/Inputs!$E$24+X26/Inputs!$E$25+X27/Inputs!$E$26+X28/Inputs!$E$27)*(1+X29)</f>
        <v>0.634416666666667</v>
      </c>
      <c r="Y39" s="129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100</v>
      </c>
      <c r="B40" s="16" t="s">
        <v>93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102</v>
      </c>
      <c r="B41" s="16" t="s">
        <v>103</v>
      </c>
      <c r="C41" s="132" t="n">
        <f aca="false">Inputs!$E$11</f>
        <v>0.08</v>
      </c>
      <c r="D41" s="132" t="n">
        <f aca="false">Inputs!$E$11</f>
        <v>0.08</v>
      </c>
      <c r="E41" s="132" t="n">
        <f aca="false">Inputs!$E$11</f>
        <v>0.08</v>
      </c>
      <c r="F41" s="132" t="n">
        <f aca="false">Inputs!$E$11</f>
        <v>0.08</v>
      </c>
      <c r="G41" s="132" t="n">
        <f aca="false">Inputs!$E$11</f>
        <v>0.08</v>
      </c>
      <c r="H41" s="132" t="n">
        <f aca="false">Inputs!$E$11</f>
        <v>0.08</v>
      </c>
      <c r="I41" s="132" t="n">
        <f aca="false">Inputs!$E$11</f>
        <v>0.08</v>
      </c>
      <c r="J41" s="132" t="n">
        <f aca="false">Inputs!$E$11</f>
        <v>0.08</v>
      </c>
      <c r="K41" s="132" t="n">
        <f aca="false">Inputs!$E$11</f>
        <v>0.08</v>
      </c>
      <c r="L41" s="132" t="n">
        <f aca="false">Inputs!$E$11</f>
        <v>0.08</v>
      </c>
      <c r="M41" s="132" t="n">
        <f aca="false">Inputs!$E$11</f>
        <v>0.08</v>
      </c>
      <c r="N41" s="132" t="n">
        <f aca="false">Inputs!$E$11</f>
        <v>0.08</v>
      </c>
      <c r="O41" s="132" t="n">
        <f aca="false">Inputs!$E$11</f>
        <v>0.08</v>
      </c>
      <c r="P41" s="132" t="n">
        <f aca="false">Inputs!$E$11</f>
        <v>0.08</v>
      </c>
      <c r="Q41" s="132" t="n">
        <f aca="false">Inputs!$E$11</f>
        <v>0.08</v>
      </c>
      <c r="R41" s="132" t="n">
        <f aca="false">Inputs!$D$11</f>
        <v>0.06</v>
      </c>
      <c r="S41" s="132" t="n">
        <f aca="false">Inputs!$F$11</f>
        <v>0.1</v>
      </c>
      <c r="T41" s="132" t="n">
        <f aca="false">Inputs!$E$11</f>
        <v>0.08</v>
      </c>
      <c r="U41" s="132" t="n">
        <f aca="false">Inputs!$E$11</f>
        <v>0.08</v>
      </c>
      <c r="V41" s="132" t="n">
        <f aca="false">Inputs!$E$11</f>
        <v>0.08</v>
      </c>
      <c r="W41" s="132" t="n">
        <f aca="false">Inputs!$E$11</f>
        <v>0.08</v>
      </c>
      <c r="X41" s="132" t="n">
        <f aca="false">Inputs!$E$11</f>
        <v>0.08</v>
      </c>
      <c r="Y41" s="132" t="n">
        <f aca="false">Inputs!$E$11</f>
        <v>0.08</v>
      </c>
    </row>
    <row r="42" customFormat="false" ht="15" hidden="false" customHeight="true" outlineLevel="0" collapsed="false">
      <c r="A42" s="20" t="s">
        <v>886</v>
      </c>
      <c r="B42" s="16" t="s">
        <v>867</v>
      </c>
      <c r="C42" s="129" t="n">
        <f aca="false">C7*1000*C40*C14*8760*C41/1000000000</f>
        <v>0.672768</v>
      </c>
      <c r="D42" s="129" t="n">
        <f aca="false">D7*1000*D40*D14*8760*D41/1000000000</f>
        <v>0.672768</v>
      </c>
      <c r="E42" s="129" t="n">
        <f aca="false">E7*1000*E40*E14*8760*E41/1000000000</f>
        <v>0.672768</v>
      </c>
      <c r="F42" s="129" t="n">
        <f aca="false">F7*1000*F40*F14*8760*F41/1000000000</f>
        <v>0.672768</v>
      </c>
      <c r="G42" s="129" t="n">
        <f aca="false">G7*1000*G40*G14*8760*G41/1000000000</f>
        <v>0.672768</v>
      </c>
      <c r="H42" s="129" t="n">
        <f aca="false">H7*1000*H40*H14*8760*H41/1000000000</f>
        <v>0.672768</v>
      </c>
      <c r="I42" s="129" t="n">
        <f aca="false">I7*1000*I40*I14*8760*I41/1000000000</f>
        <v>0.672768</v>
      </c>
      <c r="J42" s="129" t="n">
        <f aca="false">J7*1000*J40*J14*8760*J41/1000000000</f>
        <v>0.672768</v>
      </c>
      <c r="K42" s="129" t="n">
        <f aca="false">K7*1000*K40*K14*8760*K41/1000000000</f>
        <v>0.672768</v>
      </c>
      <c r="L42" s="129" t="n">
        <f aca="false">L7*1000*L40*L14*8760*L41/1000000000</f>
        <v>0.672768</v>
      </c>
      <c r="M42" s="129" t="n">
        <f aca="false">M7*1000*M40*M14*8760*M41/1000000000</f>
        <v>0.672768</v>
      </c>
      <c r="N42" s="129" t="n">
        <f aca="false">N7*1000*N40*N14*8760*N41/1000000000</f>
        <v>0.672768</v>
      </c>
      <c r="O42" s="129" t="n">
        <f aca="false">O7*1000*O40*O14*8760*O41/1000000000</f>
        <v>0.672768</v>
      </c>
      <c r="P42" s="129" t="n">
        <f aca="false">P7*1000*P40*P14*8760*P41/1000000000</f>
        <v>0.672768</v>
      </c>
      <c r="Q42" s="129" t="n">
        <f aca="false">Q7*1000*Q40*Q14*8760*Q41/1000000000</f>
        <v>0.672768</v>
      </c>
      <c r="R42" s="129" t="n">
        <f aca="false">R7*1000*R40*R14*8760*R41/1000000000</f>
        <v>0.504576</v>
      </c>
      <c r="S42" s="129" t="n">
        <f aca="false">S7*1000*S40*S14*8760*S41/1000000000</f>
        <v>0.84096</v>
      </c>
      <c r="T42" s="129" t="n">
        <f aca="false">T7*1000*T40*T14*8760*T41/1000000000</f>
        <v>0.616704</v>
      </c>
      <c r="U42" s="129" t="n">
        <f aca="false">U7*1000*U40*U14*8760*U41/1000000000</f>
        <v>0.728832</v>
      </c>
      <c r="V42" s="129" t="n">
        <f aca="false">V7*1000*V40*V14*8760*V41/1000000000</f>
        <v>0.588672</v>
      </c>
      <c r="W42" s="129" t="n">
        <f aca="false">W7*1000*W40*W14*8760*W41/1000000000</f>
        <v>0.756864</v>
      </c>
      <c r="X42" s="129" t="n">
        <f aca="false">X7*1000*X40*X14*8760*X41/1000000000</f>
        <v>0.672768</v>
      </c>
      <c r="Y42" s="129" t="n">
        <f aca="false">Y7*1000*Y40*Y14*8760*Y41/1000000000</f>
        <v>0.672768</v>
      </c>
    </row>
    <row r="43" customFormat="false" ht="15" hidden="false" customHeight="true" outlineLevel="0" collapsed="false">
      <c r="A43" s="15" t="s">
        <v>887</v>
      </c>
      <c r="B43" s="16" t="s">
        <v>867</v>
      </c>
      <c r="C43" s="129" t="n">
        <f aca="false">C23*Inputs!$E$30</f>
        <v>0.591045788314028</v>
      </c>
      <c r="D43" s="129" t="n">
        <f aca="false">D23*Inputs!$E$30</f>
        <v>0.548992077631918</v>
      </c>
      <c r="E43" s="129" t="n">
        <f aca="false">E23*Inputs!$E$30</f>
        <v>0.640108450776491</v>
      </c>
      <c r="F43" s="129" t="n">
        <f aca="false">F23*Inputs!$E$30</f>
        <v>0.713718421081081</v>
      </c>
      <c r="G43" s="129" t="n">
        <f aca="false">G23*Inputs!$E$30</f>
        <v>0.583460797940798</v>
      </c>
      <c r="H43" s="129" t="n">
        <f aca="false">H23*Inputs!$E$30</f>
        <v>0.564284336061776</v>
      </c>
      <c r="I43" s="129" t="n">
        <f aca="false">I23*Inputs!$E$30</f>
        <v>0.61780724056628</v>
      </c>
      <c r="J43" s="129" t="n">
        <f aca="false">J23*Inputs!$E$30</f>
        <v>0.591045788314028</v>
      </c>
      <c r="K43" s="129" t="n">
        <f aca="false">K23*Inputs!$E$30</f>
        <v>0.591045788314028</v>
      </c>
      <c r="L43" s="129" t="n">
        <f aca="false">L23*Inputs!$E$30</f>
        <v>0.591045788314028</v>
      </c>
      <c r="M43" s="129" t="n">
        <f aca="false">M23*Inputs!$E$30</f>
        <v>0.591045788314028</v>
      </c>
      <c r="N43" s="129" t="n">
        <f aca="false">N23*Inputs!$E$30</f>
        <v>0.591045788314028</v>
      </c>
      <c r="O43" s="129" t="n">
        <f aca="false">O23*Inputs!$E$30</f>
        <v>0.591045788314028</v>
      </c>
      <c r="P43" s="129" t="n">
        <f aca="false">P23*Inputs!$E$30</f>
        <v>0.591045788314028</v>
      </c>
      <c r="Q43" s="129" t="n">
        <f aca="false">Q23*Inputs!$E$30</f>
        <v>0.591045788314028</v>
      </c>
      <c r="R43" s="129" t="n">
        <f aca="false">R23*Inputs!$E$30</f>
        <v>0.591045788314028</v>
      </c>
      <c r="S43" s="129" t="n">
        <f aca="false">S23*Inputs!$E$30</f>
        <v>0.591045788314028</v>
      </c>
      <c r="T43" s="129" t="n">
        <f aca="false">T23*Inputs!$E$30</f>
        <v>0.591045788314028</v>
      </c>
      <c r="U43" s="129" t="n">
        <f aca="false">U23*Inputs!$E$30</f>
        <v>0.591045788314028</v>
      </c>
      <c r="V43" s="129" t="n">
        <f aca="false">V23*Inputs!$E$30</f>
        <v>0.591045788314028</v>
      </c>
      <c r="W43" s="129" t="n">
        <f aca="false">W23*Inputs!$E$30</f>
        <v>0.591045788314028</v>
      </c>
      <c r="X43" s="129" t="n">
        <f aca="false">X23*Inputs!$E$30</f>
        <v>0.61044585984556</v>
      </c>
      <c r="Y43" s="129" t="n">
        <f aca="false">Y23*Inputs!$E$30</f>
        <v>0.565373513204633</v>
      </c>
    </row>
    <row r="44" customFormat="false" ht="15" hidden="false" customHeight="true" outlineLevel="0" collapsed="false">
      <c r="A44" s="20" t="s">
        <v>143</v>
      </c>
      <c r="B44" s="16" t="s">
        <v>867</v>
      </c>
      <c r="C44" s="129" t="n">
        <f aca="false">C31*Inputs!$E$31</f>
        <v>0.2534</v>
      </c>
      <c r="D44" s="129" t="n">
        <f aca="false">D31*Inputs!$E$31</f>
        <v>0.2534</v>
      </c>
      <c r="E44" s="129" t="n">
        <f aca="false">E31*Inputs!$E$31</f>
        <v>0.2534</v>
      </c>
      <c r="F44" s="129" t="n">
        <f aca="false">F31*Inputs!$E$31</f>
        <v>0.2534</v>
      </c>
      <c r="G44" s="129" t="n">
        <f aca="false">G31*Inputs!$E$31</f>
        <v>0.2534</v>
      </c>
      <c r="H44" s="129" t="n">
        <f aca="false">H31*Inputs!$E$31</f>
        <v>0.2534</v>
      </c>
      <c r="I44" s="129" t="n">
        <f aca="false">I31*Inputs!$E$31</f>
        <v>0.2534</v>
      </c>
      <c r="J44" s="129" t="n">
        <f aca="false">J31*Inputs!$E$31</f>
        <v>0.2396</v>
      </c>
      <c r="K44" s="129" t="n">
        <f aca="false">K31*Inputs!$E$31</f>
        <v>0.2741</v>
      </c>
      <c r="L44" s="129" t="n">
        <f aca="false">L31*Inputs!$E$31</f>
        <v>0.2373</v>
      </c>
      <c r="M44" s="129" t="n">
        <f aca="false">M31*Inputs!$E$31</f>
        <v>0.2764</v>
      </c>
      <c r="N44" s="129" t="n">
        <f aca="false">N31*Inputs!$E$31</f>
        <v>0.2534</v>
      </c>
      <c r="O44" s="129" t="n">
        <f aca="false">O31*Inputs!$E$31</f>
        <v>0.2534</v>
      </c>
      <c r="P44" s="129" t="n">
        <f aca="false">P31*Inputs!$E$31</f>
        <v>0.2534</v>
      </c>
      <c r="Q44" s="129" t="n">
        <f aca="false">Q31*Inputs!$E$31</f>
        <v>0.2534</v>
      </c>
      <c r="R44" s="129" t="n">
        <f aca="false">R31*Inputs!$E$31</f>
        <v>0.2534</v>
      </c>
      <c r="S44" s="129" t="n">
        <f aca="false">S31*Inputs!$E$31</f>
        <v>0.2534</v>
      </c>
      <c r="T44" s="129" t="n">
        <f aca="false">T31*Inputs!$E$31</f>
        <v>0.2534</v>
      </c>
      <c r="U44" s="129" t="n">
        <f aca="false">U31*Inputs!$E$31</f>
        <v>0.2534</v>
      </c>
      <c r="V44" s="129" t="n">
        <f aca="false">V31*Inputs!$E$31</f>
        <v>0.2534</v>
      </c>
      <c r="W44" s="129" t="n">
        <f aca="false">W31*Inputs!$E$31</f>
        <v>0.2534</v>
      </c>
      <c r="X44" s="129" t="n">
        <f aca="false">X31*Inputs!$E$31</f>
        <v>0.2534</v>
      </c>
      <c r="Y44" s="129" t="n">
        <f aca="false">Y31*Inputs!$E$31</f>
        <v>0.2534</v>
      </c>
    </row>
    <row r="45" customFormat="false" ht="15" hidden="false" customHeight="true" outlineLevel="0" collapsed="false">
      <c r="A45" s="20" t="s">
        <v>3475</v>
      </c>
      <c r="B45" s="16" t="s">
        <v>867</v>
      </c>
      <c r="C45" s="129" t="n">
        <f aca="false">(Inputs!$E$32*C7/1000+Inputs!$E$33*C7/1000+Inputs!$E$34*C7)/1000</f>
        <v>0.325</v>
      </c>
      <c r="D45" s="129" t="n">
        <f aca="false">(Inputs!$E$32*D7/1000+Inputs!$E$33*D7/1000+Inputs!$E$34*D7)/1000</f>
        <v>0.325</v>
      </c>
      <c r="E45" s="129" t="n">
        <f aca="false">(Inputs!$E$32*E7/1000+Inputs!$E$33*E7/1000+Inputs!$E$34*E7)/1000</f>
        <v>0.325</v>
      </c>
      <c r="F45" s="129" t="n">
        <f aca="false">(Inputs!$E$32*F7/1000+Inputs!$E$33*F7/1000+Inputs!$E$34*F7)/1000</f>
        <v>0.325</v>
      </c>
      <c r="G45" s="129" t="n">
        <f aca="false">(Inputs!$E$32*G7/1000+Inputs!$E$33*G7/1000+Inputs!$E$34*G7)/1000</f>
        <v>0.325</v>
      </c>
      <c r="H45" s="129" t="n">
        <f aca="false">(Inputs!$E$32*H7/1000+Inputs!$E$33*H7/1000+Inputs!$E$34*H7)/1000</f>
        <v>0.325</v>
      </c>
      <c r="I45" s="129" t="n">
        <f aca="false">(Inputs!$E$32*I7/1000+Inputs!$E$33*I7/1000+Inputs!$E$34*I7)/1000</f>
        <v>0.325</v>
      </c>
      <c r="J45" s="129" t="n">
        <f aca="false">(Inputs!$E$32*J7/1000+Inputs!$E$33*J7/1000+Inputs!$E$34*J7)/1000</f>
        <v>0.325</v>
      </c>
      <c r="K45" s="129" t="n">
        <f aca="false">(Inputs!$E$32*K7/1000+Inputs!$E$33*K7/1000+Inputs!$E$34*K7)/1000</f>
        <v>0.325</v>
      </c>
      <c r="L45" s="129" t="n">
        <f aca="false">(Inputs!$E$32*L7/1000+Inputs!$E$33*L7/1000+Inputs!$E$34*L7)/1000</f>
        <v>0.325</v>
      </c>
      <c r="M45" s="129" t="n">
        <f aca="false">(Inputs!$E$32*M7/1000+Inputs!$E$33*M7/1000+Inputs!$E$34*M7)/1000</f>
        <v>0.325</v>
      </c>
      <c r="N45" s="129" t="n">
        <f aca="false">(Inputs!$E$32*N7/1000+Inputs!$E$33*N7/1000+Inputs!$E$34*N7)/1000</f>
        <v>0.325</v>
      </c>
      <c r="O45" s="129" t="n">
        <f aca="false">(Inputs!$E$32*O7/1000+Inputs!$E$33*O7/1000+Inputs!$E$34*O7)/1000</f>
        <v>0.325</v>
      </c>
      <c r="P45" s="129" t="n">
        <f aca="false">(Inputs!$E$32*P7/1000+Inputs!$E$33*P7/1000+Inputs!$E$34*P7)/1000</f>
        <v>0.325</v>
      </c>
      <c r="Q45" s="129" t="n">
        <f aca="false">(Inputs!$E$32*Q7/1000+Inputs!$E$33*Q7/1000+Inputs!$E$34*Q7)/1000</f>
        <v>0.325</v>
      </c>
      <c r="R45" s="129" t="n">
        <f aca="false">(Inputs!$E$32*R7/1000+Inputs!$E$33*R7/1000+Inputs!$E$34*R7)/1000</f>
        <v>0.325</v>
      </c>
      <c r="S45" s="129" t="n">
        <f aca="false">(Inputs!$E$32*S7/1000+Inputs!$E$33*S7/1000+Inputs!$E$34*S7)/1000</f>
        <v>0.325</v>
      </c>
      <c r="T45" s="129" t="n">
        <f aca="false">(Inputs!$E$32*T7/1000+Inputs!$E$33*T7/1000+Inputs!$E$34*T7)/1000</f>
        <v>0.325</v>
      </c>
      <c r="U45" s="129" t="n">
        <f aca="false">(Inputs!$E$32*U7/1000+Inputs!$E$33*U7/1000+Inputs!$E$34*U7)/1000</f>
        <v>0.325</v>
      </c>
      <c r="V45" s="129" t="n">
        <f aca="false">(Inputs!$E$32*V7/1000+Inputs!$E$33*V7/1000+Inputs!$E$34*V7)/1000</f>
        <v>0.325</v>
      </c>
      <c r="W45" s="129" t="n">
        <f aca="false">(Inputs!$E$32*W7/1000+Inputs!$E$33*W7/1000+Inputs!$E$34*W7)/1000</f>
        <v>0.325</v>
      </c>
      <c r="X45" s="129" t="n">
        <f aca="false">(Inputs!$E$32*X7/1000+Inputs!$E$33*X7/1000+Inputs!$E$34*X7)/1000</f>
        <v>0.325</v>
      </c>
      <c r="Y45" s="129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154</v>
      </c>
      <c r="B46" s="16" t="s">
        <v>867</v>
      </c>
      <c r="C46" s="129" t="n">
        <f aca="false">C32*Inputs!$E$35</f>
        <v>0.25128176</v>
      </c>
      <c r="D46" s="129" t="n">
        <f aca="false">D32*Inputs!$E$35</f>
        <v>0.23791016</v>
      </c>
      <c r="E46" s="129" t="n">
        <f aca="false">E32*Inputs!$E$35</f>
        <v>0.26688196</v>
      </c>
      <c r="F46" s="129" t="n">
        <f aca="false">F32*Inputs!$E$35</f>
        <v>0.29028734</v>
      </c>
      <c r="G46" s="129" t="n">
        <f aca="false">G32*Inputs!$E$35</f>
        <v>0.24887</v>
      </c>
      <c r="H46" s="129" t="n">
        <f aca="false">H32*Inputs!$E$35</f>
        <v>0.24277256</v>
      </c>
      <c r="I46" s="129" t="n">
        <f aca="false">I32*Inputs!$E$35</f>
        <v>0.25979096</v>
      </c>
      <c r="J46" s="129" t="n">
        <f aca="false">J32*Inputs!$E$35</f>
        <v>0.24783176</v>
      </c>
      <c r="K46" s="129" t="n">
        <f aca="false">K32*Inputs!$E$35</f>
        <v>0.25645676</v>
      </c>
      <c r="L46" s="129" t="n">
        <f aca="false">L32*Inputs!$E$35</f>
        <v>0.24725676</v>
      </c>
      <c r="M46" s="129" t="n">
        <f aca="false">M32*Inputs!$E$35</f>
        <v>0.25703176</v>
      </c>
      <c r="N46" s="129" t="n">
        <f aca="false">N32*Inputs!$E$35</f>
        <v>0.25128176</v>
      </c>
      <c r="O46" s="129" t="n">
        <f aca="false">O32*Inputs!$E$35</f>
        <v>0.25128176</v>
      </c>
      <c r="P46" s="129" t="n">
        <f aca="false">P32*Inputs!$E$35</f>
        <v>0.25128176</v>
      </c>
      <c r="Q46" s="129" t="n">
        <f aca="false">Q32*Inputs!$E$35</f>
        <v>0.25128176</v>
      </c>
      <c r="R46" s="129" t="n">
        <f aca="false">R32*Inputs!$E$35</f>
        <v>0.25128176</v>
      </c>
      <c r="S46" s="129" t="n">
        <f aca="false">S32*Inputs!$E$35</f>
        <v>0.25128176</v>
      </c>
      <c r="T46" s="129" t="n">
        <f aca="false">T32*Inputs!$E$35</f>
        <v>0.25128176</v>
      </c>
      <c r="U46" s="129" t="n">
        <f aca="false">U32*Inputs!$E$35</f>
        <v>0.25128176</v>
      </c>
      <c r="V46" s="129" t="n">
        <f aca="false">V32*Inputs!$E$35</f>
        <v>0.25128176</v>
      </c>
      <c r="W46" s="129" t="n">
        <f aca="false">W32*Inputs!$E$35</f>
        <v>0.25128176</v>
      </c>
      <c r="X46" s="129" t="n">
        <f aca="false">X32*Inputs!$E$35</f>
        <v>0.2574503</v>
      </c>
      <c r="Y46" s="129" t="n">
        <f aca="false">Y32*Inputs!$E$35</f>
        <v>0.24311888</v>
      </c>
    </row>
    <row r="47" customFormat="false" ht="15" hidden="false" customHeight="true" outlineLevel="0" collapsed="false">
      <c r="A47" s="20" t="s">
        <v>889</v>
      </c>
      <c r="B47" s="16" t="s">
        <v>867</v>
      </c>
      <c r="C47" s="129" t="n">
        <f aca="false">C42+C43+C44+C45+C46</f>
        <v>2.09349554831403</v>
      </c>
      <c r="D47" s="129" t="n">
        <f aca="false">D42+D43+D44+D45+D46</f>
        <v>2.03807023763192</v>
      </c>
      <c r="E47" s="129" t="n">
        <f aca="false">E42+E43+E44+E45+E46</f>
        <v>2.15815841077649</v>
      </c>
      <c r="F47" s="129" t="n">
        <f aca="false">F42+F43+F44+F45+F46</f>
        <v>2.25517376108108</v>
      </c>
      <c r="G47" s="129" t="n">
        <f aca="false">G42+G43+G44+G45+G46</f>
        <v>2.0834987979408</v>
      </c>
      <c r="H47" s="129" t="n">
        <f aca="false">H42+H43+H44+H45+H46</f>
        <v>2.05822489606178</v>
      </c>
      <c r="I47" s="129" t="n">
        <f aca="false">I42+I43+I44+I45+I46</f>
        <v>2.12876620056628</v>
      </c>
      <c r="J47" s="129" t="n">
        <f aca="false">J42+J43+J44+J45+J46</f>
        <v>2.07624554831403</v>
      </c>
      <c r="K47" s="129" t="n">
        <f aca="false">K42+K43+K44+K45+K46</f>
        <v>2.11937054831403</v>
      </c>
      <c r="L47" s="129" t="n">
        <f aca="false">L42+L43+L44+L45+L46</f>
        <v>2.07337054831403</v>
      </c>
      <c r="M47" s="129" t="n">
        <f aca="false">M42+M43+M44+M45+M46</f>
        <v>2.12224554831403</v>
      </c>
      <c r="N47" s="129" t="n">
        <f aca="false">N42+N43+N44+N45+N46</f>
        <v>2.09349554831403</v>
      </c>
      <c r="O47" s="129" t="n">
        <f aca="false">O42+O43+O44+O45+O46</f>
        <v>2.09349554831403</v>
      </c>
      <c r="P47" s="129" t="n">
        <f aca="false">P42+P43+P44+P45+P46</f>
        <v>2.09349554831403</v>
      </c>
      <c r="Q47" s="129" t="n">
        <f aca="false">Q42+Q43+Q44+Q45+Q46</f>
        <v>2.09349554831403</v>
      </c>
      <c r="R47" s="129" t="n">
        <f aca="false">R42+R43+R44+R45+R46</f>
        <v>1.92530354831403</v>
      </c>
      <c r="S47" s="129" t="n">
        <f aca="false">S42+S43+S44+S45+S46</f>
        <v>2.26168754831403</v>
      </c>
      <c r="T47" s="129" t="n">
        <f aca="false">T42+T43+T44+T45+T46</f>
        <v>2.03743154831403</v>
      </c>
      <c r="U47" s="129" t="n">
        <f aca="false">U42+U43+U44+U45+U46</f>
        <v>2.14955954831403</v>
      </c>
      <c r="V47" s="129" t="n">
        <f aca="false">V42+V43+V44+V45+V46</f>
        <v>2.00939954831403</v>
      </c>
      <c r="W47" s="129" t="n">
        <f aca="false">W42+W43+W44+W45+W46</f>
        <v>2.17759154831403</v>
      </c>
      <c r="X47" s="129" t="n">
        <f aca="false">X42+X43+X44+X45+X46</f>
        <v>2.11906415984556</v>
      </c>
      <c r="Y47" s="129" t="n">
        <f aca="false">Y42+Y43+Y44+Y45+Y46</f>
        <v>2.05966039320463</v>
      </c>
    </row>
    <row r="48" customFormat="false" ht="15" hidden="false" customHeight="true" outlineLevel="0" collapsed="false">
      <c r="A48" s="20" t="s">
        <v>890</v>
      </c>
      <c r="B48" s="16" t="s">
        <v>867</v>
      </c>
      <c r="C48" s="130" t="n">
        <f aca="false">C38+C39+C47</f>
        <v>8.9923042149807</v>
      </c>
      <c r="D48" s="130" t="n">
        <f aca="false">D38+D39+D47</f>
        <v>8.49115890429858</v>
      </c>
      <c r="E48" s="130" t="n">
        <f aca="false">E38+E39+E47</f>
        <v>9.57697374410982</v>
      </c>
      <c r="F48" s="130" t="n">
        <f aca="false">F38+F39+F47</f>
        <v>10.4541684277478</v>
      </c>
      <c r="G48" s="130" t="n">
        <f aca="false">G38+G39+G47</f>
        <v>8.90191546460746</v>
      </c>
      <c r="H48" s="130" t="n">
        <f aca="false">H38+H39+H47</f>
        <v>8.67339356272844</v>
      </c>
      <c r="I48" s="130" t="n">
        <f aca="false">I38+I39+I47</f>
        <v>9.31121486723295</v>
      </c>
      <c r="J48" s="130" t="n">
        <f aca="false">J38+J39+J47</f>
        <v>8.9520542149807</v>
      </c>
      <c r="K48" s="130" t="n">
        <f aca="false">K38+K39+K47</f>
        <v>9.0526792149807</v>
      </c>
      <c r="L48" s="130" t="n">
        <f aca="false">L38+L39+L47</f>
        <v>8.9319292149807</v>
      </c>
      <c r="M48" s="130" t="n">
        <f aca="false">M38+M39+M47</f>
        <v>9.0785542149807</v>
      </c>
      <c r="N48" s="130" t="n">
        <f aca="false">N38+N39+N47</f>
        <v>8.09739107212355</v>
      </c>
      <c r="O48" s="130" t="n">
        <f aca="false">O38+O39+O47</f>
        <v>12.1245002149807</v>
      </c>
      <c r="P48" s="130" t="n">
        <f aca="false">P38+P39+P47</f>
        <v>8.9923042149807</v>
      </c>
      <c r="Q48" s="130" t="n">
        <f aca="false">Q38+Q39+Q47</f>
        <v>8.9923042149807</v>
      </c>
      <c r="R48" s="130" t="n">
        <f aca="false">R38+R39+R47</f>
        <v>8.82411221498069</v>
      </c>
      <c r="S48" s="130" t="n">
        <f aca="false">S38+S39+S47</f>
        <v>9.1604962149807</v>
      </c>
      <c r="T48" s="130" t="n">
        <f aca="false">T38+T39+T47</f>
        <v>8.9362402149807</v>
      </c>
      <c r="U48" s="130" t="n">
        <f aca="false">U38+U39+U47</f>
        <v>9.0483682149807</v>
      </c>
      <c r="V48" s="130" t="n">
        <f aca="false">V38+V39+V47</f>
        <v>8.9082082149807</v>
      </c>
      <c r="W48" s="130" t="n">
        <f aca="false">W38+W39+W47</f>
        <v>9.07640021498069</v>
      </c>
      <c r="X48" s="130" t="n">
        <f aca="false">X38+X39+X47</f>
        <v>9.22349082651223</v>
      </c>
      <c r="Y48" s="130" t="n">
        <f aca="false">Y38+Y39+Y47</f>
        <v>8.6863730598713</v>
      </c>
    </row>
    <row r="49" customFormat="false" ht="15" hidden="false" customHeight="true" outlineLevel="0" collapsed="false">
      <c r="A49" s="25" t="s">
        <v>3476</v>
      </c>
      <c r="B49" s="14"/>
      <c r="C49" s="14"/>
    </row>
    <row r="50" customFormat="false" ht="15" hidden="false" customHeight="true" outlineLevel="0" collapsed="false">
      <c r="A50" s="15" t="s">
        <v>892</v>
      </c>
      <c r="B50" s="16" t="s">
        <v>93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893</v>
      </c>
      <c r="B51" s="16" t="s">
        <v>97</v>
      </c>
      <c r="C51" s="133" t="n">
        <f aca="false">C50/(1-(1+C50)^(-C37))</f>
        <v>0.229607380362667</v>
      </c>
      <c r="D51" s="133" t="n">
        <f aca="false">D50/(1-(1+D50)^(-D37))</f>
        <v>0.229607380362667</v>
      </c>
      <c r="E51" s="133" t="n">
        <f aca="false">E50/(1-(1+E50)^(-E37))</f>
        <v>0.229607380362667</v>
      </c>
      <c r="F51" s="133" t="n">
        <f aca="false">F50/(1-(1+F50)^(-F37))</f>
        <v>0.229607380362667</v>
      </c>
      <c r="G51" s="133" t="n">
        <f aca="false">G50/(1-(1+G50)^(-G37))</f>
        <v>0.229607380362667</v>
      </c>
      <c r="H51" s="133" t="n">
        <f aca="false">H50/(1-(1+H50)^(-H37))</f>
        <v>0.229607380362667</v>
      </c>
      <c r="I51" s="133" t="n">
        <f aca="false">I50/(1-(1+I50)^(-I37))</f>
        <v>0.229607380362667</v>
      </c>
      <c r="J51" s="133" t="n">
        <f aca="false">J50/(1-(1+J50)^(-J37))</f>
        <v>0.229607380362667</v>
      </c>
      <c r="K51" s="133" t="n">
        <f aca="false">K50/(1-(1+K50)^(-K37))</f>
        <v>0.229607380362667</v>
      </c>
      <c r="L51" s="133" t="n">
        <f aca="false">L50/(1-(1+L50)^(-L37))</f>
        <v>0.229607380362667</v>
      </c>
      <c r="M51" s="133" t="n">
        <f aca="false">M50/(1-(1+M50)^(-M37))</f>
        <v>0.229607380362667</v>
      </c>
      <c r="N51" s="133" t="n">
        <f aca="false">N50/(1-(1+N50)^(-N37))</f>
        <v>0.205405499700596</v>
      </c>
      <c r="O51" s="133" t="n">
        <f aca="false">O50/(1-(1+O50)^(-O37))</f>
        <v>0.315470803706098</v>
      </c>
      <c r="P51" s="133" t="n">
        <f aca="false">P50/(1-(1+P50)^(-P37))</f>
        <v>0.21631538622901</v>
      </c>
      <c r="Q51" s="133" t="n">
        <f aca="false">Q50/(1-(1+Q50)^(-Q37))</f>
        <v>0.250153232051725</v>
      </c>
      <c r="R51" s="133" t="n">
        <f aca="false">R50/(1-(1+R50)^(-R37))</f>
        <v>0.229607380362667</v>
      </c>
      <c r="S51" s="133" t="n">
        <f aca="false">S50/(1-(1+S50)^(-S37))</f>
        <v>0.229607380362667</v>
      </c>
      <c r="T51" s="133" t="n">
        <f aca="false">T50/(1-(1+T50)^(-T37))</f>
        <v>0.229607380362667</v>
      </c>
      <c r="U51" s="133" t="n">
        <f aca="false">U50/(1-(1+U50)^(-U37))</f>
        <v>0.229607380362667</v>
      </c>
      <c r="V51" s="133" t="n">
        <f aca="false">V50/(1-(1+V50)^(-V37))</f>
        <v>0.229607380362667</v>
      </c>
      <c r="W51" s="133" t="n">
        <f aca="false">W50/(1-(1+W50)^(-W37))</f>
        <v>0.229607380362667</v>
      </c>
      <c r="X51" s="133" t="n">
        <f aca="false">X50/(1-(1+X50)^(-X37))</f>
        <v>0.229607380362667</v>
      </c>
      <c r="Y51" s="133" t="n">
        <f aca="false">Y50/(1-(1+Y50)^(-Y37))</f>
        <v>0.229607380362667</v>
      </c>
    </row>
    <row r="52" customFormat="false" ht="15" hidden="false" customHeight="true" outlineLevel="0" collapsed="false">
      <c r="A52" s="15" t="s">
        <v>894</v>
      </c>
      <c r="B52" s="16" t="s">
        <v>867</v>
      </c>
      <c r="C52" s="129" t="n">
        <f aca="false">C23*C51</f>
        <v>8.6301038201091</v>
      </c>
      <c r="D52" s="129" t="n">
        <f aca="false">D23*D51</f>
        <v>8.01606021065761</v>
      </c>
      <c r="E52" s="129" t="n">
        <f aca="false">E23*E51</f>
        <v>9.34648803113583</v>
      </c>
      <c r="F52" s="129" t="n">
        <f aca="false">F23*F51</f>
        <v>10.4212976287744</v>
      </c>
      <c r="G52" s="129" t="n">
        <f aca="false">G23*G51</f>
        <v>8.5193522409764</v>
      </c>
      <c r="H52" s="129" t="n">
        <f aca="false">H23*H51</f>
        <v>8.23934879591269</v>
      </c>
      <c r="I52" s="129" t="n">
        <f aca="false">I23*I51</f>
        <v>9.0208588443055</v>
      </c>
      <c r="J52" s="129" t="n">
        <f aca="false">J23*J51</f>
        <v>8.6301038201091</v>
      </c>
      <c r="K52" s="129" t="n">
        <f aca="false">K23*K51</f>
        <v>8.6301038201091</v>
      </c>
      <c r="L52" s="129" t="n">
        <f aca="false">L23*L51</f>
        <v>8.6301038201091</v>
      </c>
      <c r="M52" s="129" t="n">
        <f aca="false">M23*M51</f>
        <v>8.6301038201091</v>
      </c>
      <c r="N52" s="129" t="n">
        <f aca="false">N23*N51</f>
        <v>7.72044341448248</v>
      </c>
      <c r="O52" s="129" t="n">
        <f aca="false">O23*O51</f>
        <v>11.8573966738203</v>
      </c>
      <c r="P52" s="129" t="n">
        <f aca="false">P23*P51</f>
        <v>8.13050624981951</v>
      </c>
      <c r="Q52" s="129" t="n">
        <f aca="false">Q23*Q51</f>
        <v>9.40234743383383</v>
      </c>
      <c r="R52" s="129" t="n">
        <f aca="false">R23*R51</f>
        <v>8.6301038201091</v>
      </c>
      <c r="S52" s="129" t="n">
        <f aca="false">S23*S51</f>
        <v>8.6301038201091</v>
      </c>
      <c r="T52" s="129" t="n">
        <f aca="false">T23*T51</f>
        <v>8.6301038201091</v>
      </c>
      <c r="U52" s="129" t="n">
        <f aca="false">U23*U51</f>
        <v>8.6301038201091</v>
      </c>
      <c r="V52" s="129" t="n">
        <f aca="false">V23*V51</f>
        <v>8.6301038201091</v>
      </c>
      <c r="W52" s="129" t="n">
        <f aca="false">W23*W51</f>
        <v>8.6301038201091</v>
      </c>
      <c r="X52" s="129" t="n">
        <f aca="false">X23*X51</f>
        <v>8.91337228212156</v>
      </c>
      <c r="Y52" s="129" t="n">
        <f aca="false">Y23*Y51</f>
        <v>8.25525232150613</v>
      </c>
    </row>
    <row r="53" customFormat="false" ht="15" hidden="false" customHeight="true" outlineLevel="0" collapsed="false">
      <c r="A53" s="20" t="s">
        <v>895</v>
      </c>
      <c r="B53" s="16" t="s">
        <v>867</v>
      </c>
      <c r="C53" s="129" t="n">
        <f aca="false">(C25*C50/(1-(1+C50)^(-Inputs!$E$24))+C26*C50/(1-(1+C50)^(-Inputs!$E$25))+C27*C50/(1-(1+C50)^(-Inputs!$E$26))+C28*C50/(1-(1+C50)^(-Inputs!$E$27)))*(1+C29)+C24*C50</f>
        <v>1.50187163616098</v>
      </c>
      <c r="D53" s="129" t="n">
        <f aca="false">(D25*D50/(1-(1+D50)^(-Inputs!$E$24))+D26*D50/(1-(1+D50)^(-Inputs!$E$25))+D27*D50/(1-(1+D50)^(-Inputs!$E$26))+D28*D50/(1-(1+D50)^(-Inputs!$E$27)))*(1+D29)+D24*D50</f>
        <v>1.50187163616098</v>
      </c>
      <c r="E53" s="129" t="n">
        <f aca="false">(E25*E50/(1-(1+E50)^(-Inputs!$E$24))+E26*E50/(1-(1+E50)^(-Inputs!$E$25))+E27*E50/(1-(1+E50)^(-Inputs!$E$26))+E28*E50/(1-(1+E50)^(-Inputs!$E$27)))*(1+E29)+E24*E50</f>
        <v>1.50187163616098</v>
      </c>
      <c r="F53" s="129" t="n">
        <f aca="false">(F25*F50/(1-(1+F50)^(-Inputs!$E$24))+F26*F50/(1-(1+F50)^(-Inputs!$E$25))+F27*F50/(1-(1+F50)^(-Inputs!$E$26))+F28*F50/(1-(1+F50)^(-Inputs!$E$27)))*(1+F29)+F24*F50</f>
        <v>1.50187163616098</v>
      </c>
      <c r="G53" s="129" t="n">
        <f aca="false">(G25*G50/(1-(1+G50)^(-Inputs!$E$24))+G26*G50/(1-(1+G50)^(-Inputs!$E$25))+G27*G50/(1-(1+G50)^(-Inputs!$E$26))+G28*G50/(1-(1+G50)^(-Inputs!$E$27)))*(1+G29)+G24*G50</f>
        <v>1.50187163616098</v>
      </c>
      <c r="H53" s="129" t="n">
        <f aca="false">(H25*H50/(1-(1+H50)^(-Inputs!$E$24))+H26*H50/(1-(1+H50)^(-Inputs!$E$25))+H27*H50/(1-(1+H50)^(-Inputs!$E$26))+H28*H50/(1-(1+H50)^(-Inputs!$E$27)))*(1+H29)+H24*H50</f>
        <v>1.50187163616098</v>
      </c>
      <c r="I53" s="129" t="n">
        <f aca="false">(I25*I50/(1-(1+I50)^(-Inputs!$E$24))+I26*I50/(1-(1+I50)^(-Inputs!$E$25))+I27*I50/(1-(1+I50)^(-Inputs!$E$26))+I28*I50/(1-(1+I50)^(-Inputs!$E$27)))*(1+I29)+I24*I50</f>
        <v>1.50187163616098</v>
      </c>
      <c r="J53" s="129" t="n">
        <f aca="false">(J25*J50/(1-(1+J50)^(-Inputs!$E$24))+J26*J50/(1-(1+J50)^(-Inputs!$E$25))+J27*J50/(1-(1+J50)^(-Inputs!$E$26))+J28*J50/(1-(1+J50)^(-Inputs!$E$27)))*(1+J29)+J24*J50</f>
        <v>1.42867695486666</v>
      </c>
      <c r="K53" s="129" t="n">
        <f aca="false">(K25*K50/(1-(1+K50)^(-Inputs!$E$24))+K26*K50/(1-(1+K50)^(-Inputs!$E$25))+K27*K50/(1-(1+K50)^(-Inputs!$E$26))+K28*K50/(1-(1+K50)^(-Inputs!$E$27)))*(1+K29)+K24*K50</f>
        <v>1.61166365810245</v>
      </c>
      <c r="L53" s="129" t="n">
        <f aca="false">(L25*L50/(1-(1+L50)^(-Inputs!$E$24))+L26*L50/(1-(1+L50)^(-Inputs!$E$25))+L27*L50/(1-(1+L50)^(-Inputs!$E$26))+L28*L50/(1-(1+L50)^(-Inputs!$E$27)))*(1+L29)+L24*L50</f>
        <v>1.40731663821908</v>
      </c>
      <c r="M53" s="129" t="n">
        <f aca="false">(M25*M50/(1-(1+M50)^(-Inputs!$E$24))+M26*M50/(1-(1+M50)^(-Inputs!$E$25))+M27*M50/(1-(1+M50)^(-Inputs!$E$26))+M28*M50/(1-(1+M50)^(-Inputs!$E$27)))*(1+M29)+M24*M50</f>
        <v>1.63695020464941</v>
      </c>
      <c r="N53" s="129" t="n">
        <f aca="false">(N25*N50/(1-(1+N50)^(-Inputs!$E$24))+N26*N50/(1-(1+N50)^(-Inputs!$E$25))+N27*N50/(1-(1+N50)^(-Inputs!$E$26))+N28*N50/(1-(1+N50)^(-Inputs!$E$27)))*(1+N29)+N24*N50</f>
        <v>1.50187163616098</v>
      </c>
      <c r="O53" s="129" t="n">
        <f aca="false">(O25*O50/(1-(1+O50)^(-Inputs!$E$24))+O26*O50/(1-(1+O50)^(-Inputs!$E$25))+O27*O50/(1-(1+O50)^(-Inputs!$E$26))+O28*O50/(1-(1+O50)^(-Inputs!$E$27)))*(1+O29)+O24*O50</f>
        <v>1.50187163616098</v>
      </c>
      <c r="P53" s="129" t="n">
        <f aca="false">(P25*P50/(1-(1+P50)^(-Inputs!$E$24))+P26*P50/(1-(1+P50)^(-Inputs!$E$25))+P27*P50/(1-(1+P50)^(-Inputs!$E$26))+P28*P50/(1-(1+P50)^(-Inputs!$E$27)))*(1+P29)+P24*P50</f>
        <v>1.30086926137482</v>
      </c>
      <c r="Q53" s="129" t="n">
        <f aca="false">(Q25*Q50/(1-(1+Q50)^(-Inputs!$E$24))+Q26*Q50/(1-(1+Q50)^(-Inputs!$E$25))+Q27*Q50/(1-(1+Q50)^(-Inputs!$E$26))+Q28*Q50/(1-(1+Q50)^(-Inputs!$E$27)))*(1+Q29)+Q24*Q50</f>
        <v>1.82125675978435</v>
      </c>
      <c r="R53" s="129" t="n">
        <f aca="false">(R25*R50/(1-(1+R50)^(-Inputs!$E$24))+R26*R50/(1-(1+R50)^(-Inputs!$E$25))+R27*R50/(1-(1+R50)^(-Inputs!$E$26))+R28*R50/(1-(1+R50)^(-Inputs!$E$27)))*(1+R29)+R24*R50</f>
        <v>1.50187163616098</v>
      </c>
      <c r="S53" s="129" t="n">
        <f aca="false">(S25*S50/(1-(1+S50)^(-Inputs!$E$24))+S26*S50/(1-(1+S50)^(-Inputs!$E$25))+S27*S50/(1-(1+S50)^(-Inputs!$E$26))+S28*S50/(1-(1+S50)^(-Inputs!$E$27)))*(1+S29)+S24*S50</f>
        <v>1.50187163616098</v>
      </c>
      <c r="T53" s="129" t="n">
        <f aca="false">(T25*T50/(1-(1+T50)^(-Inputs!$E$24))+T26*T50/(1-(1+T50)^(-Inputs!$E$25))+T27*T50/(1-(1+T50)^(-Inputs!$E$26))+T28*T50/(1-(1+T50)^(-Inputs!$E$27)))*(1+T29)+T24*T50</f>
        <v>1.50187163616098</v>
      </c>
      <c r="U53" s="129" t="n">
        <f aca="false">(U25*U50/(1-(1+U50)^(-Inputs!$E$24))+U26*U50/(1-(1+U50)^(-Inputs!$E$25))+U27*U50/(1-(1+U50)^(-Inputs!$E$26))+U28*U50/(1-(1+U50)^(-Inputs!$E$27)))*(1+U29)+U24*U50</f>
        <v>1.50187163616098</v>
      </c>
      <c r="V53" s="129" t="n">
        <f aca="false">(V25*V50/(1-(1+V50)^(-Inputs!$E$24))+V26*V50/(1-(1+V50)^(-Inputs!$E$25))+V27*V50/(1-(1+V50)^(-Inputs!$E$26))+V28*V50/(1-(1+V50)^(-Inputs!$E$27)))*(1+V29)+V24*V50</f>
        <v>1.50187163616098</v>
      </c>
      <c r="W53" s="129" t="n">
        <f aca="false">(W25*W50/(1-(1+W50)^(-Inputs!$E$24))+W26*W50/(1-(1+W50)^(-Inputs!$E$25))+W27*W50/(1-(1+W50)^(-Inputs!$E$26))+W28*W50/(1-(1+W50)^(-Inputs!$E$27)))*(1+W29)+W24*W50</f>
        <v>1.50187163616098</v>
      </c>
      <c r="X53" s="129" t="n">
        <f aca="false">(X25*X50/(1-(1+X50)^(-Inputs!$E$24))+X26*X50/(1-(1+X50)^(-Inputs!$E$25))+X27*X50/(1-(1+X50)^(-Inputs!$E$26))+X28*X50/(1-(1+X50)^(-Inputs!$E$27)))*(1+X29)+X24*X50</f>
        <v>1.50187163616098</v>
      </c>
      <c r="Y53" s="129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896</v>
      </c>
      <c r="B54" s="16" t="s">
        <v>867</v>
      </c>
      <c r="C54" s="130" t="n">
        <f aca="false">C52+C53+C47</f>
        <v>12.2254710045841</v>
      </c>
      <c r="D54" s="130" t="n">
        <f aca="false">D52+D53+D47</f>
        <v>11.5560020844505</v>
      </c>
      <c r="E54" s="130" t="n">
        <f aca="false">E52+E53+E47</f>
        <v>13.0065180780733</v>
      </c>
      <c r="F54" s="130" t="n">
        <f aca="false">F52+F53+F47</f>
        <v>14.1783430260165</v>
      </c>
      <c r="G54" s="130" t="n">
        <f aca="false">G52+G53+G47</f>
        <v>12.1047226750782</v>
      </c>
      <c r="H54" s="130" t="n">
        <f aca="false">H52+H53+H47</f>
        <v>11.7994453281354</v>
      </c>
      <c r="I54" s="130" t="n">
        <f aca="false">I52+I53+I47</f>
        <v>12.6514966810328</v>
      </c>
      <c r="J54" s="130" t="n">
        <f aca="false">J52+J53+J47</f>
        <v>12.1350263232898</v>
      </c>
      <c r="K54" s="130" t="n">
        <f aca="false">K52+K53+K47</f>
        <v>12.3611380265256</v>
      </c>
      <c r="L54" s="130" t="n">
        <f aca="false">L52+L53+L47</f>
        <v>12.1107910066422</v>
      </c>
      <c r="M54" s="130" t="n">
        <f aca="false">M52+M53+M47</f>
        <v>12.3892995730725</v>
      </c>
      <c r="N54" s="130" t="n">
        <f aca="false">N52+N53+N47</f>
        <v>11.3158105989575</v>
      </c>
      <c r="O54" s="130" t="n">
        <f aca="false">O52+O53+O47</f>
        <v>15.4527638582953</v>
      </c>
      <c r="P54" s="130" t="n">
        <f aca="false">P52+P53+P47</f>
        <v>11.5248710595084</v>
      </c>
      <c r="Q54" s="130" t="n">
        <f aca="false">Q52+Q53+Q47</f>
        <v>13.3170997419322</v>
      </c>
      <c r="R54" s="130" t="n">
        <f aca="false">R52+R53+R47</f>
        <v>12.0572790045841</v>
      </c>
      <c r="S54" s="130" t="n">
        <f aca="false">S52+S53+S47</f>
        <v>12.3936630045841</v>
      </c>
      <c r="T54" s="130" t="n">
        <f aca="false">T52+T53+T47</f>
        <v>12.1694070045841</v>
      </c>
      <c r="U54" s="130" t="n">
        <f aca="false">U52+U53+U47</f>
        <v>12.2815350045841</v>
      </c>
      <c r="V54" s="130" t="n">
        <f aca="false">V52+V53+V47</f>
        <v>12.1413750045841</v>
      </c>
      <c r="W54" s="130" t="n">
        <f aca="false">W52+W53+W47</f>
        <v>12.3095670045841</v>
      </c>
      <c r="X54" s="130" t="n">
        <f aca="false">X52+X53+X47</f>
        <v>12.5343080781281</v>
      </c>
      <c r="Y54" s="130" t="n">
        <f aca="false">Y52+Y53+Y47</f>
        <v>11.8167843508717</v>
      </c>
    </row>
    <row r="55" customFormat="false" ht="15" hidden="false" customHeight="true" outlineLevel="0" collapsed="false">
      <c r="A55" s="25" t="s">
        <v>897</v>
      </c>
      <c r="B55" s="14"/>
      <c r="C55" s="14"/>
    </row>
    <row r="56" customFormat="false" ht="15" hidden="false" customHeight="true" outlineLevel="0" collapsed="false">
      <c r="A56" s="20" t="s">
        <v>898</v>
      </c>
      <c r="B56" s="16" t="s">
        <v>840</v>
      </c>
      <c r="C56" s="129" t="n">
        <f aca="false">C48*1000000000/(C13*8760)</f>
        <v>3.51855992240582</v>
      </c>
      <c r="D56" s="129" t="n">
        <f aca="false">D48*1000000000/(D13*8760)</f>
        <v>3.32246893578972</v>
      </c>
      <c r="E56" s="129" t="n">
        <f aca="false">E48*1000000000/(E13*8760)</f>
        <v>3.7473327401246</v>
      </c>
      <c r="F56" s="129" t="n">
        <f aca="false">F48*1000000000/(F13*8760)</f>
        <v>3.38748729007889</v>
      </c>
      <c r="G56" s="129" t="n">
        <f aca="false">G48*1000000000/(G13*8760)</f>
        <v>3.528473595497</v>
      </c>
      <c r="H56" s="129" t="n">
        <f aca="false">H48*1000000000/(H13*8760)</f>
        <v>3.39377474910466</v>
      </c>
      <c r="I56" s="129" t="n">
        <f aca="false">I48*1000000000/(I13*8760)</f>
        <v>3.64334509570697</v>
      </c>
      <c r="J56" s="129" t="n">
        <f aca="false">J48*1000000000/(J13*8760)</f>
        <v>3.50281067354912</v>
      </c>
      <c r="K56" s="129" t="n">
        <f aca="false">K48*1000000000/(K13*8760)</f>
        <v>3.54218379569086</v>
      </c>
      <c r="L56" s="129" t="n">
        <f aca="false">L48*1000000000/(L13*8760)</f>
        <v>3.49493604912077</v>
      </c>
      <c r="M56" s="129" t="n">
        <f aca="false">M48*1000000000/(M13*8760)</f>
        <v>3.55230831281302</v>
      </c>
      <c r="N56" s="129" t="n">
        <f aca="false">N48*1000000000/(N13*8760)</f>
        <v>3.16839321949939</v>
      </c>
      <c r="O56" s="129" t="n">
        <f aca="false">O48*1000000000/(O13*8760)</f>
        <v>4.74414338257832</v>
      </c>
      <c r="P56" s="129" t="n">
        <f aca="false">P48*1000000000/(P13*8760)</f>
        <v>3.51855992240582</v>
      </c>
      <c r="Q56" s="129" t="n">
        <f aca="false">Q48*1000000000/(Q13*8760)</f>
        <v>3.51855992240582</v>
      </c>
      <c r="R56" s="129" t="n">
        <f aca="false">R48*1000000000/(R13*8760)</f>
        <v>3.45274880032618</v>
      </c>
      <c r="S56" s="129" t="n">
        <f aca="false">S48*1000000000/(S13*8760)</f>
        <v>3.58437104448545</v>
      </c>
      <c r="T56" s="129" t="n">
        <f aca="false">T48*1000000000/(T13*8760)</f>
        <v>3.49662288171261</v>
      </c>
      <c r="U56" s="129" t="n">
        <f aca="false">U48*1000000000/(U13*8760)</f>
        <v>3.54049696309903</v>
      </c>
      <c r="V56" s="129" t="n">
        <f aca="false">V48*1000000000/(V13*8760)</f>
        <v>3.485654361366</v>
      </c>
      <c r="W56" s="129" t="n">
        <f aca="false">W48*1000000000/(W13*8760)</f>
        <v>3.55146548344563</v>
      </c>
      <c r="X56" s="129" t="n">
        <f aca="false">X48*1000000000/(X13*8760)</f>
        <v>3.49432467709515</v>
      </c>
      <c r="Y56" s="129" t="n">
        <f aca="false">Y48*1000000000/(Y13*8760)</f>
        <v>3.55318734290371</v>
      </c>
    </row>
    <row r="57" customFormat="false" ht="15" hidden="false" customHeight="true" outlineLevel="0" collapsed="false">
      <c r="A57" s="20" t="s">
        <v>899</v>
      </c>
      <c r="B57" s="16" t="s">
        <v>840</v>
      </c>
      <c r="C57" s="130" t="n">
        <f aca="false">C54*1000000000/(C13*8760)</f>
        <v>4.78365180724219</v>
      </c>
      <c r="D57" s="130" t="n">
        <f aca="false">D54*1000000000/(D13*8760)</f>
        <v>4.52169820165197</v>
      </c>
      <c r="E57" s="130" t="n">
        <f aca="false">E54*1000000000/(E13*8760)</f>
        <v>5.08926434709746</v>
      </c>
      <c r="F57" s="130" t="n">
        <f aca="false">F54*1000000000/(F13*8760)</f>
        <v>4.59423981227714</v>
      </c>
      <c r="G57" s="130" t="n">
        <f aca="false">G54*1000000000/(G13*8760)</f>
        <v>4.79797797559859</v>
      </c>
      <c r="H57" s="130" t="n">
        <f aca="false">H54*1000000000/(H13*8760)</f>
        <v>4.61695405823023</v>
      </c>
      <c r="I57" s="130" t="n">
        <f aca="false">I54*1000000000/(I13*8760)</f>
        <v>4.95034955625416</v>
      </c>
      <c r="J57" s="130" t="n">
        <f aca="false">J54*1000000000/(J13*8760)</f>
        <v>4.74826209808769</v>
      </c>
      <c r="K57" s="130" t="n">
        <f aca="false">K54*1000000000/(K13*8760)</f>
        <v>4.83673637097394</v>
      </c>
      <c r="L57" s="130" t="n">
        <f aca="false">L54*1000000000/(L13*8760)</f>
        <v>4.73877916559071</v>
      </c>
      <c r="M57" s="130" t="n">
        <f aca="false">M54*1000000000/(M13*8760)</f>
        <v>4.84775558103003</v>
      </c>
      <c r="N57" s="130" t="n">
        <f aca="false">N54*1000000000/(N13*8760)</f>
        <v>4.42771471150815</v>
      </c>
      <c r="O57" s="130" t="n">
        <f aca="false">O54*1000000000/(O13*8760)</f>
        <v>6.04644530504417</v>
      </c>
      <c r="P57" s="130" t="n">
        <f aca="false">P54*1000000000/(P13*8760)</f>
        <v>4.50951707720531</v>
      </c>
      <c r="Q57" s="130" t="n">
        <f aca="false">Q54*1000000000/(Q13*8760)</f>
        <v>5.21079050646243</v>
      </c>
      <c r="R57" s="130" t="n">
        <f aca="false">R54*1000000000/(R13*8760)</f>
        <v>4.71784068516256</v>
      </c>
      <c r="S57" s="130" t="n">
        <f aca="false">S54*1000000000/(S13*8760)</f>
        <v>4.84946292932183</v>
      </c>
      <c r="T57" s="130" t="n">
        <f aca="false">T54*1000000000/(T13*8760)</f>
        <v>4.76171476654898</v>
      </c>
      <c r="U57" s="130" t="n">
        <f aca="false">U54*1000000000/(U13*8760)</f>
        <v>4.80558884793541</v>
      </c>
      <c r="V57" s="130" t="n">
        <f aca="false">V54*1000000000/(V13*8760)</f>
        <v>4.75074624620238</v>
      </c>
      <c r="W57" s="130" t="n">
        <f aca="false">W54*1000000000/(W13*8760)</f>
        <v>4.81655736828201</v>
      </c>
      <c r="X57" s="130" t="n">
        <f aca="false">X54*1000000000/(X13*8760)</f>
        <v>4.74862965134841</v>
      </c>
      <c r="Y57" s="130" t="n">
        <f aca="false">Y54*1000000000/(Y13*8760)</f>
        <v>4.83369161097972</v>
      </c>
    </row>
    <row r="58" customFormat="false" ht="15" hidden="false" customHeight="true" outlineLevel="0" collapsed="false">
      <c r="A58" s="20" t="s">
        <v>900</v>
      </c>
      <c r="B58" s="16" t="s">
        <v>901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902</v>
      </c>
      <c r="B59" s="16" t="s">
        <v>903</v>
      </c>
      <c r="C59" s="129" t="n">
        <f aca="false">C7*C40*C14*8760/1000000</f>
        <v>8.4096</v>
      </c>
      <c r="D59" s="129" t="n">
        <f aca="false">D7*D40*D14*8760/1000000</f>
        <v>8.4096</v>
      </c>
      <c r="E59" s="129" t="n">
        <f aca="false">E7*E40*E14*8760/1000000</f>
        <v>8.4096</v>
      </c>
      <c r="F59" s="129" t="n">
        <f aca="false">F7*F40*F14*8760/1000000</f>
        <v>8.4096</v>
      </c>
      <c r="G59" s="129" t="n">
        <f aca="false">G7*G40*G14*8760/1000000</f>
        <v>8.4096</v>
      </c>
      <c r="H59" s="129" t="n">
        <f aca="false">H7*H40*H14*8760/1000000</f>
        <v>8.4096</v>
      </c>
      <c r="I59" s="129" t="n">
        <f aca="false">I7*I40*I14*8760/1000000</f>
        <v>8.4096</v>
      </c>
      <c r="J59" s="129" t="n">
        <f aca="false">J7*J40*J14*8760/1000000</f>
        <v>8.4096</v>
      </c>
      <c r="K59" s="129" t="n">
        <f aca="false">K7*K40*K14*8760/1000000</f>
        <v>8.4096</v>
      </c>
      <c r="L59" s="129" t="n">
        <f aca="false">L7*L40*L14*8760/1000000</f>
        <v>8.4096</v>
      </c>
      <c r="M59" s="129" t="n">
        <f aca="false">M7*M40*M14*8760/1000000</f>
        <v>8.4096</v>
      </c>
      <c r="N59" s="129" t="n">
        <f aca="false">N7*N40*N14*8760/1000000</f>
        <v>8.4096</v>
      </c>
      <c r="O59" s="129" t="n">
        <f aca="false">O7*O40*O14*8760/1000000</f>
        <v>8.4096</v>
      </c>
      <c r="P59" s="129" t="n">
        <f aca="false">P7*P40*P14*8760/1000000</f>
        <v>8.4096</v>
      </c>
      <c r="Q59" s="129" t="n">
        <f aca="false">Q7*Q40*Q14*8760/1000000</f>
        <v>8.4096</v>
      </c>
      <c r="R59" s="129" t="n">
        <f aca="false">R7*R40*R14*8760/1000000</f>
        <v>8.4096</v>
      </c>
      <c r="S59" s="129" t="n">
        <f aca="false">S7*S40*S14*8760/1000000</f>
        <v>8.4096</v>
      </c>
      <c r="T59" s="129" t="n">
        <f aca="false">T7*T40*T14*8760/1000000</f>
        <v>7.7088</v>
      </c>
      <c r="U59" s="129" t="n">
        <f aca="false">U7*U40*U14*8760/1000000</f>
        <v>9.1104</v>
      </c>
      <c r="V59" s="129" t="n">
        <f aca="false">V7*V40*V14*8760/1000000</f>
        <v>7.3584</v>
      </c>
      <c r="W59" s="129" t="n">
        <f aca="false">W7*W40*W14*8760/1000000</f>
        <v>9.4608</v>
      </c>
      <c r="X59" s="129" t="n">
        <f aca="false">X7*X40*X14*8760/1000000</f>
        <v>8.4096</v>
      </c>
      <c r="Y59" s="129" t="n">
        <f aca="false">Y7*Y40*Y14*8760/1000000</f>
        <v>8.4096</v>
      </c>
    </row>
    <row r="60" customFormat="false" ht="15" hidden="false" customHeight="true" outlineLevel="0" collapsed="false">
      <c r="A60" s="20" t="s">
        <v>904</v>
      </c>
      <c r="B60" s="16" t="s">
        <v>93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905</v>
      </c>
      <c r="B61" s="16" t="s">
        <v>93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3477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3478</v>
      </c>
      <c r="B65" s="34"/>
      <c r="C65" s="34" t="s">
        <v>3479</v>
      </c>
      <c r="D65" s="34" t="s">
        <v>3480</v>
      </c>
      <c r="E65" s="34" t="s">
        <v>3481</v>
      </c>
      <c r="F65" s="34" t="s">
        <v>3482</v>
      </c>
      <c r="G65" s="34" t="s">
        <v>3483</v>
      </c>
      <c r="H65" s="34" t="s">
        <v>3484</v>
      </c>
      <c r="I65" s="212" t="s">
        <v>3485</v>
      </c>
      <c r="J65" s="212" t="s">
        <v>3486</v>
      </c>
    </row>
    <row r="66" customFormat="false" ht="15" hidden="false" customHeight="true" outlineLevel="0" collapsed="false">
      <c r="A66" s="20" t="s">
        <v>79</v>
      </c>
      <c r="C66" s="37" t="n">
        <f aca="false">C32</f>
        <v>50.256352</v>
      </c>
      <c r="F66" s="129" t="n">
        <f aca="false">C54</f>
        <v>12.2254710045841</v>
      </c>
      <c r="I66" s="129" t="n">
        <f aca="false">C57</f>
        <v>4.78365180724219</v>
      </c>
    </row>
    <row r="67" customFormat="false" ht="15" hidden="false" customHeight="true" outlineLevel="0" collapsed="false">
      <c r="A67" s="20" t="s">
        <v>3487</v>
      </c>
      <c r="C67" s="37" t="n">
        <f aca="false">D32</f>
        <v>47.582032</v>
      </c>
      <c r="D67" s="37" t="n">
        <f aca="false">E32</f>
        <v>53.376392</v>
      </c>
      <c r="E67" s="213" t="n">
        <f aca="false">ABS(D67-C67)</f>
        <v>5.79436</v>
      </c>
      <c r="F67" s="129" t="n">
        <f aca="false">D54</f>
        <v>11.5560020844505</v>
      </c>
      <c r="G67" s="129" t="n">
        <f aca="false">E54</f>
        <v>13.0065180780733</v>
      </c>
      <c r="H67" s="130" t="n">
        <f aca="false">ABS(G67-F67)</f>
        <v>1.4505159936228</v>
      </c>
      <c r="I67" s="129" t="n">
        <f aca="false">D57</f>
        <v>4.52169820165197</v>
      </c>
      <c r="J67" s="129" t="n">
        <f aca="false">E57</f>
        <v>5.08926434709746</v>
      </c>
    </row>
    <row r="68" customFormat="false" ht="15" hidden="false" customHeight="true" outlineLevel="0" collapsed="false">
      <c r="A68" s="20" t="s">
        <v>3488</v>
      </c>
      <c r="C68" s="37" t="n">
        <f aca="false">F32</f>
        <v>58.057468</v>
      </c>
      <c r="D68" s="37" t="n">
        <f aca="false">G32</f>
        <v>49.774</v>
      </c>
      <c r="E68" s="213" t="n">
        <f aca="false">ABS(D68-C68)</f>
        <v>8.28346800000001</v>
      </c>
      <c r="F68" s="129" t="n">
        <f aca="false">F54</f>
        <v>14.1783430260165</v>
      </c>
      <c r="G68" s="129" t="n">
        <f aca="false">G54</f>
        <v>12.1047226750782</v>
      </c>
      <c r="H68" s="130" t="n">
        <f aca="false">ABS(G68-F68)</f>
        <v>2.07362035093827</v>
      </c>
      <c r="I68" s="129" t="n">
        <f aca="false">F57</f>
        <v>4.59423981227714</v>
      </c>
      <c r="J68" s="129" t="n">
        <f aca="false">G57</f>
        <v>4.79797797559859</v>
      </c>
    </row>
    <row r="69" customFormat="false" ht="15" hidden="false" customHeight="true" outlineLevel="0" collapsed="false">
      <c r="A69" s="20" t="s">
        <v>3489</v>
      </c>
      <c r="C69" s="37" t="n">
        <f aca="false">H32</f>
        <v>48.554512</v>
      </c>
      <c r="D69" s="37" t="n">
        <f aca="false">I32</f>
        <v>51.958192</v>
      </c>
      <c r="E69" s="213" t="n">
        <f aca="false">ABS(D69-C69)</f>
        <v>3.40368</v>
      </c>
      <c r="F69" s="129" t="n">
        <f aca="false">H54</f>
        <v>11.7994453281354</v>
      </c>
      <c r="G69" s="129" t="n">
        <f aca="false">I54</f>
        <v>12.6514966810328</v>
      </c>
      <c r="H69" s="130" t="n">
        <f aca="false">ABS(G69-F69)</f>
        <v>0.852051352897309</v>
      </c>
      <c r="I69" s="129" t="n">
        <f aca="false">H57</f>
        <v>4.61695405823023</v>
      </c>
      <c r="J69" s="129" t="n">
        <f aca="false">I57</f>
        <v>4.95034955625416</v>
      </c>
    </row>
    <row r="70" customFormat="false" ht="15" hidden="false" customHeight="true" outlineLevel="0" collapsed="false">
      <c r="A70" s="20" t="s">
        <v>3490</v>
      </c>
      <c r="C70" s="37" t="n">
        <f aca="false">J32</f>
        <v>49.566352</v>
      </c>
      <c r="D70" s="37" t="n">
        <f aca="false">K32</f>
        <v>51.291352</v>
      </c>
      <c r="E70" s="213" t="n">
        <f aca="false">ABS(D70-C70)</f>
        <v>1.725</v>
      </c>
      <c r="F70" s="129" t="n">
        <f aca="false">J54</f>
        <v>12.1350263232898</v>
      </c>
      <c r="G70" s="129" t="n">
        <f aca="false">K54</f>
        <v>12.3611380265256</v>
      </c>
      <c r="H70" s="130" t="n">
        <f aca="false">ABS(G70-F70)</f>
        <v>0.226111703235794</v>
      </c>
      <c r="I70" s="129" t="n">
        <f aca="false">J57</f>
        <v>4.74826209808769</v>
      </c>
      <c r="J70" s="129" t="n">
        <f aca="false">K57</f>
        <v>4.83673637097394</v>
      </c>
    </row>
    <row r="71" customFormat="false" ht="15" hidden="false" customHeight="true" outlineLevel="0" collapsed="false">
      <c r="A71" s="20" t="s">
        <v>3491</v>
      </c>
      <c r="C71" s="37" t="n">
        <f aca="false">L32</f>
        <v>49.451352</v>
      </c>
      <c r="D71" s="37" t="n">
        <f aca="false">M32</f>
        <v>51.406352</v>
      </c>
      <c r="E71" s="213" t="n">
        <f aca="false">ABS(D71-C71)</f>
        <v>1.955</v>
      </c>
      <c r="F71" s="129" t="n">
        <f aca="false">L54</f>
        <v>12.1107910066422</v>
      </c>
      <c r="G71" s="129" t="n">
        <f aca="false">M54</f>
        <v>12.3892995730725</v>
      </c>
      <c r="H71" s="130" t="n">
        <f aca="false">ABS(G71-F71)</f>
        <v>0.278508566430327</v>
      </c>
      <c r="I71" s="129" t="n">
        <f aca="false">L57</f>
        <v>4.73877916559071</v>
      </c>
      <c r="J71" s="129" t="n">
        <f aca="false">M57</f>
        <v>4.84775558103003</v>
      </c>
    </row>
    <row r="72" customFormat="false" ht="15" hidden="false" customHeight="true" outlineLevel="0" collapsed="false">
      <c r="A72" s="15" t="s">
        <v>3492</v>
      </c>
      <c r="C72" s="37" t="n">
        <f aca="false">N32</f>
        <v>50.256352</v>
      </c>
      <c r="D72" s="37" t="n">
        <f aca="false">O32</f>
        <v>50.256352</v>
      </c>
      <c r="E72" s="213" t="n">
        <f aca="false">ABS(D72-C72)</f>
        <v>0</v>
      </c>
      <c r="F72" s="129" t="n">
        <f aca="false">N54</f>
        <v>11.3158105989575</v>
      </c>
      <c r="G72" s="129" t="n">
        <f aca="false">O54</f>
        <v>15.4527638582953</v>
      </c>
      <c r="H72" s="130" t="n">
        <f aca="false">ABS(G72-F72)</f>
        <v>4.13695325933781</v>
      </c>
      <c r="I72" s="129" t="n">
        <f aca="false">N57</f>
        <v>4.42771471150815</v>
      </c>
      <c r="J72" s="129" t="n">
        <f aca="false">O57</f>
        <v>6.04644530504417</v>
      </c>
    </row>
    <row r="73" customFormat="false" ht="15" hidden="false" customHeight="true" outlineLevel="0" collapsed="false">
      <c r="A73" s="15" t="s">
        <v>892</v>
      </c>
      <c r="C73" s="37" t="n">
        <f aca="false">P32</f>
        <v>50.256352</v>
      </c>
      <c r="D73" s="37" t="n">
        <f aca="false">Q32</f>
        <v>50.256352</v>
      </c>
      <c r="E73" s="213" t="n">
        <f aca="false">ABS(D73-C73)</f>
        <v>0</v>
      </c>
      <c r="F73" s="129" t="n">
        <f aca="false">P54</f>
        <v>11.5248710595084</v>
      </c>
      <c r="G73" s="129" t="n">
        <f aca="false">Q54</f>
        <v>13.3170997419322</v>
      </c>
      <c r="H73" s="130" t="n">
        <f aca="false">ABS(G73-F73)</f>
        <v>1.79222868242385</v>
      </c>
      <c r="I73" s="129" t="n">
        <f aca="false">P57</f>
        <v>4.50951707720531</v>
      </c>
      <c r="J73" s="129" t="n">
        <f aca="false">Q57</f>
        <v>5.21079050646243</v>
      </c>
    </row>
    <row r="74" customFormat="false" ht="15" hidden="false" customHeight="true" outlineLevel="0" collapsed="false">
      <c r="A74" s="20" t="s">
        <v>102</v>
      </c>
      <c r="C74" s="37" t="n">
        <f aca="false">R32</f>
        <v>50.256352</v>
      </c>
      <c r="D74" s="37" t="n">
        <f aca="false">S32</f>
        <v>50.256352</v>
      </c>
      <c r="E74" s="213" t="n">
        <f aca="false">ABS(D74-C74)</f>
        <v>0</v>
      </c>
      <c r="F74" s="129" t="n">
        <f aca="false">R54</f>
        <v>12.0572790045841</v>
      </c>
      <c r="G74" s="129" t="n">
        <f aca="false">S54</f>
        <v>12.3936630045841</v>
      </c>
      <c r="H74" s="130" t="n">
        <f aca="false">ABS(G74-F74)</f>
        <v>0.336384000000001</v>
      </c>
      <c r="I74" s="129" t="n">
        <f aca="false">R57</f>
        <v>4.71784068516256</v>
      </c>
      <c r="J74" s="129" t="n">
        <f aca="false">S57</f>
        <v>4.84946292932183</v>
      </c>
    </row>
    <row r="75" customFormat="false" ht="15" hidden="false" customHeight="true" outlineLevel="0" collapsed="false">
      <c r="A75" s="15" t="s">
        <v>96</v>
      </c>
      <c r="C75" s="37" t="n">
        <f aca="false">T32</f>
        <v>50.256352</v>
      </c>
      <c r="D75" s="37" t="n">
        <f aca="false">U32</f>
        <v>50.256352</v>
      </c>
      <c r="E75" s="213" t="n">
        <f aca="false">ABS(D75-C75)</f>
        <v>0</v>
      </c>
      <c r="F75" s="129" t="n">
        <f aca="false">T54</f>
        <v>12.1694070045841</v>
      </c>
      <c r="G75" s="129" t="n">
        <f aca="false">U54</f>
        <v>12.2815350045841</v>
      </c>
      <c r="H75" s="130" t="n">
        <f aca="false">ABS(G75-F75)</f>
        <v>0.112128</v>
      </c>
      <c r="I75" s="129" t="n">
        <f aca="false">T57</f>
        <v>4.76171476654898</v>
      </c>
      <c r="J75" s="129" t="n">
        <f aca="false">U57</f>
        <v>4.80558884793541</v>
      </c>
    </row>
    <row r="76" customFormat="false" ht="15" hidden="false" customHeight="true" outlineLevel="0" collapsed="false">
      <c r="A76" s="20" t="s">
        <v>3493</v>
      </c>
      <c r="C76" s="37" t="n">
        <f aca="false">V32</f>
        <v>50.256352</v>
      </c>
      <c r="D76" s="37" t="n">
        <f aca="false">W32</f>
        <v>50.256352</v>
      </c>
      <c r="E76" s="213" t="n">
        <f aca="false">ABS(D76-C76)</f>
        <v>0</v>
      </c>
      <c r="F76" s="129" t="n">
        <f aca="false">V54</f>
        <v>12.1413750045841</v>
      </c>
      <c r="G76" s="129" t="n">
        <f aca="false">W54</f>
        <v>12.3095670045841</v>
      </c>
      <c r="H76" s="130" t="n">
        <f aca="false">ABS(G76-F76)</f>
        <v>0.168191999999999</v>
      </c>
      <c r="I76" s="129" t="n">
        <f aca="false">V57</f>
        <v>4.75074624620238</v>
      </c>
      <c r="J76" s="129" t="n">
        <f aca="false">W57</f>
        <v>4.81655736828201</v>
      </c>
    </row>
    <row r="77" customFormat="false" ht="15" hidden="false" customHeight="true" outlineLevel="0" collapsed="false">
      <c r="A77" s="20" t="s">
        <v>3494</v>
      </c>
      <c r="C77" s="37" t="n">
        <f aca="false">X32</f>
        <v>51.49006</v>
      </c>
      <c r="D77" s="37" t="n">
        <f aca="false">Y32</f>
        <v>48.623776</v>
      </c>
      <c r="E77" s="213" t="n">
        <f aca="false">ABS(D77-C77)</f>
        <v>2.86628400000001</v>
      </c>
      <c r="F77" s="129" t="n">
        <f aca="false">X54</f>
        <v>12.5343080781281</v>
      </c>
      <c r="G77" s="129" t="n">
        <f aca="false">Y54</f>
        <v>11.8167843508717</v>
      </c>
      <c r="H77" s="130" t="n">
        <f aca="false">ABS(G77-F77)</f>
        <v>0.717523727256358</v>
      </c>
      <c r="I77" s="129" t="n">
        <f aca="false">X57</f>
        <v>4.74862965134841</v>
      </c>
      <c r="J77" s="129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3495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357</v>
      </c>
      <c r="B3" s="12" t="s">
        <v>3496</v>
      </c>
      <c r="C3" s="12" t="s">
        <v>3497</v>
      </c>
      <c r="D3" s="12" t="s">
        <v>77</v>
      </c>
      <c r="E3" s="12" t="s">
        <v>529</v>
      </c>
      <c r="F3" s="12" t="s">
        <v>451</v>
      </c>
    </row>
    <row r="4" customFormat="false" ht="15" hidden="false" customHeight="true" outlineLevel="0" collapsed="false">
      <c r="A4" s="15" t="s">
        <v>3498</v>
      </c>
      <c r="B4" s="178" t="n">
        <f aca="false">(DC_Cost!M33)/CTL_GW</f>
        <v>50.256352</v>
      </c>
      <c r="C4" s="214" t="str">
        <f aca="false">TEXT(SRC_DC_010_Lo,"0")&amp;"–"&amp;TEXT(SRC_DC_010_Hi,"0")</f>
        <v>50–60</v>
      </c>
      <c r="D4" s="16" t="s">
        <v>2741</v>
      </c>
      <c r="E4" s="20" t="str">
        <f aca="false">IF(AND(B4&gt;=SRC_DC_010_Lo,B4&lt;=SRC_DC_010_Hi),"落在區間",IF(B4&lt;SRC_DC_010_Lo,"低於參照","高於參照"))</f>
        <v>落在區間</v>
      </c>
      <c r="F4" s="19" t="s">
        <v>3499</v>
      </c>
    </row>
    <row r="5" customFormat="false" ht="15" hidden="false" customHeight="true" outlineLevel="0" collapsed="false">
      <c r="A5" s="15" t="s">
        <v>3500</v>
      </c>
      <c r="B5" s="178" t="n">
        <f aca="false">(DC_Cost!M19)/CTL_GW</f>
        <v>34.0368</v>
      </c>
      <c r="C5" s="178" t="n">
        <f aca="false">SRC_DC_011</f>
        <v>35</v>
      </c>
      <c r="D5" s="16" t="s">
        <v>2741</v>
      </c>
      <c r="E5" s="20" t="str">
        <f aca="false">IF(ABS(B5-C5)/C5&lt;=0.2,"±20% 內","差距 &gt;20%")</f>
        <v>±20% 內</v>
      </c>
      <c r="F5" s="19" t="s">
        <v>3501</v>
      </c>
    </row>
    <row r="6" customFormat="false" ht="15" hidden="false" customHeight="true" outlineLevel="0" collapsed="false">
      <c r="A6" s="20" t="s">
        <v>881</v>
      </c>
      <c r="B6" s="178" t="n">
        <f aca="false">DC_Cost!M36</f>
        <v>12.67</v>
      </c>
      <c r="C6" s="214" t="str">
        <f aca="false">TEXT(SRC_DC_003,"0.0")&amp;" × "&amp;TEXT(1+SRC_DC_004_Lo,"0.00")&amp;"–"&amp;TEXT(1+SRC_DC_004_Hi,"0.00")</f>
        <v>11.3 × 1.07–1.10</v>
      </c>
      <c r="D6" s="16" t="s">
        <v>114</v>
      </c>
      <c r="E6" s="20" t="str">
        <f aca="false">IF(AND(B6&gt;=SRC_DC_003*(1+SRC_DC_004_Lo)*0.9,B6&lt;=SRC_DC_003*(1+SRC_DC_004_Hi)*1.3),"合理區間","需檢查")</f>
        <v>合理區間</v>
      </c>
      <c r="F6" s="6" t="s">
        <v>3502</v>
      </c>
    </row>
    <row r="7" customFormat="false" ht="15" hidden="false" customHeight="true" outlineLevel="0" collapsed="false">
      <c r="A7" s="15" t="s">
        <v>3503</v>
      </c>
      <c r="B7" s="178" t="n">
        <f aca="false">DC_Cost!G58</f>
        <v>2.00846099652078</v>
      </c>
      <c r="C7" s="178" t="n">
        <f aca="false">SRC_DC_012</f>
        <v>2.21</v>
      </c>
      <c r="D7" s="16" t="s">
        <v>840</v>
      </c>
      <c r="E7" s="20" t="str">
        <f aca="false">IF(B7&gt;C7,"高於參照（參照假設未知）","低於參照")</f>
        <v>低於參照</v>
      </c>
      <c r="F7" s="6" t="s">
        <v>3504</v>
      </c>
    </row>
    <row r="8" customFormat="false" ht="15" hidden="false" customHeight="true" outlineLevel="0" collapsed="false">
      <c r="A8" s="15" t="s">
        <v>3505</v>
      </c>
      <c r="B8" s="178" t="n">
        <f aca="false">DC_Cost!J58</f>
        <v>2.55178761329595</v>
      </c>
      <c r="C8" s="178" t="n">
        <f aca="false">SRC_DC_013</f>
        <v>2.65</v>
      </c>
      <c r="D8" s="16" t="s">
        <v>840</v>
      </c>
      <c r="E8" s="20" t="str">
        <f aca="false">IF(B8&gt;C8,"高於參照（參照假設未知）","低於參照")</f>
        <v>低於參照</v>
      </c>
      <c r="F8" s="19" t="s">
        <v>3506</v>
      </c>
    </row>
    <row r="9" customFormat="false" ht="15" hidden="false" customHeight="true" outlineLevel="0" collapsed="false">
      <c r="A9" s="15" t="s">
        <v>3507</v>
      </c>
      <c r="B9" s="178" t="n">
        <f aca="false">DC_Cost!G58</f>
        <v>2.00846099652078</v>
      </c>
      <c r="C9" s="178" t="n">
        <f aca="false">L1!$M$30</f>
        <v>10.5</v>
      </c>
      <c r="D9" s="16" t="s">
        <v>840</v>
      </c>
      <c r="E9" s="20" t="str">
        <f aca="false">"牌價 ÷ 持有成本＝"&amp;TEXT(C9/B9,"0.0")&amp;" 倍"</f>
        <v>牌價 ÷ 持有成本＝5.2 倍</v>
      </c>
      <c r="F9" s="6" t="s">
        <v>3508</v>
      </c>
    </row>
    <row r="10" customFormat="false" ht="15" hidden="false" customHeight="true" outlineLevel="0" collapsed="false">
      <c r="A10" s="20" t="s">
        <v>3509</v>
      </c>
      <c r="B10" s="178" t="n">
        <f aca="false">DC_Cost!J58</f>
        <v>2.55178761329595</v>
      </c>
      <c r="C10" s="178" t="n">
        <f aca="false">L1!$M$31</f>
        <v>3.57</v>
      </c>
      <c r="D10" s="16" t="s">
        <v>840</v>
      </c>
      <c r="E10" s="20" t="str">
        <f aca="false">"參照 ÷ 本模型＝"&amp;TEXT(C10/B10,"0.00")</f>
        <v>參照 ÷ 本模型＝1.40</v>
      </c>
      <c r="F10" s="19" t="s">
        <v>3510</v>
      </c>
    </row>
    <row r="12" customFormat="false" ht="15" hidden="false" customHeight="true" outlineLevel="0" collapsed="false">
      <c r="A12" s="40" t="s">
        <v>3511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357</v>
      </c>
      <c r="B13" s="9" t="s">
        <v>3512</v>
      </c>
      <c r="C13" s="9" t="s">
        <v>3497</v>
      </c>
      <c r="D13" s="9" t="s">
        <v>77</v>
      </c>
      <c r="E13" s="9" t="s">
        <v>529</v>
      </c>
      <c r="F13" s="9" t="s">
        <v>451</v>
      </c>
    </row>
    <row r="14" customFormat="false" ht="15" hidden="false" customHeight="true" outlineLevel="0" collapsed="false">
      <c r="A14" s="5" t="s">
        <v>3513</v>
      </c>
      <c r="B14" s="197" t="n">
        <f aca="false">Calib!C86</f>
        <v>1</v>
      </c>
      <c r="C14" s="28" t="s">
        <v>3514</v>
      </c>
      <c r="D14" s="28" t="s">
        <v>97</v>
      </c>
      <c r="E14" s="91" t="s">
        <v>3515</v>
      </c>
      <c r="F14" s="42" t="s">
        <v>3516</v>
      </c>
    </row>
    <row r="15" customFormat="false" ht="26.25" hidden="false" customHeight="true" outlineLevel="0" collapsed="false">
      <c r="A15" s="5" t="s">
        <v>3517</v>
      </c>
      <c r="B15" s="197" t="n">
        <f aca="false">Calib!E86</f>
        <v>0.99108369917347</v>
      </c>
      <c r="C15" s="46" t="n">
        <f aca="false">SRC_PERF_004</f>
        <v>11200</v>
      </c>
      <c r="D15" s="41" t="s">
        <v>3518</v>
      </c>
      <c r="E15" s="85" t="s">
        <v>3519</v>
      </c>
      <c r="F15" s="42" t="s">
        <v>3520</v>
      </c>
    </row>
    <row r="16" customFormat="false" ht="26.25" hidden="false" customHeight="true" outlineLevel="0" collapsed="false">
      <c r="A16" s="5" t="s">
        <v>3521</v>
      </c>
      <c r="B16" s="197" t="n">
        <f aca="false">Calib!F86</f>
        <v>2.18428412747673</v>
      </c>
      <c r="C16" s="46" t="n">
        <f aca="false">SRC_PERF_001</f>
        <v>6182</v>
      </c>
      <c r="D16" s="41" t="s">
        <v>3518</v>
      </c>
      <c r="E16" s="91" t="s">
        <v>3522</v>
      </c>
      <c r="F16" s="42" t="s">
        <v>3523</v>
      </c>
    </row>
    <row r="17" customFormat="false" ht="26.25" hidden="false" customHeight="true" outlineLevel="0" collapsed="false">
      <c r="A17" s="5" t="s">
        <v>3524</v>
      </c>
      <c r="B17" s="197" t="n">
        <f aca="false">Calib!G86</f>
        <v>4.1124545381639</v>
      </c>
      <c r="C17" s="46" t="n">
        <f aca="false">SRC_PERF_002</f>
        <v>2189</v>
      </c>
      <c r="D17" s="41" t="s">
        <v>3518</v>
      </c>
      <c r="E17" s="91" t="s">
        <v>3525</v>
      </c>
      <c r="F17" s="42" t="s">
        <v>3526</v>
      </c>
    </row>
    <row r="18" customFormat="false" ht="15" hidden="false" customHeight="true" outlineLevel="0" collapsed="false">
      <c r="A18" s="5" t="s">
        <v>3527</v>
      </c>
      <c r="B18" s="197" t="n">
        <f aca="false">Calib!H86</f>
        <v>1.00253190991747</v>
      </c>
      <c r="C18" s="46" t="n">
        <f aca="false">SRC_PERF_014</f>
        <v>3795.5</v>
      </c>
      <c r="D18" s="41" t="s">
        <v>3518</v>
      </c>
      <c r="E18" s="91" t="s">
        <v>3528</v>
      </c>
      <c r="F18" s="42" t="s">
        <v>3529</v>
      </c>
    </row>
    <row r="19" customFormat="false" ht="29.25" hidden="false" customHeight="true" outlineLevel="0" collapsed="false">
      <c r="A19" s="6" t="s">
        <v>3530</v>
      </c>
      <c r="B19" s="197" t="n">
        <f aca="false">DC_Cost!J58/(Calib!C17*3600)*1000000</f>
        <v>0.0758747918114994</v>
      </c>
      <c r="C19" s="175" t="n">
        <f aca="false">SRC_PERF_011</f>
        <v>0.078</v>
      </c>
      <c r="D19" s="28" t="s">
        <v>2821</v>
      </c>
      <c r="E19" s="91" t="s">
        <v>3531</v>
      </c>
      <c r="F19" s="42" t="s">
        <v>3532</v>
      </c>
    </row>
    <row r="20" customFormat="false" ht="39" hidden="false" customHeight="true" outlineLevel="0" collapsed="false">
      <c r="A20" s="6" t="s">
        <v>3533</v>
      </c>
      <c r="B20" s="197" t="n">
        <f aca="false">Sens_Perf!C120</f>
        <v>1.56528522129431</v>
      </c>
      <c r="C20" s="175" t="n">
        <f aca="false">DC_Cost!M55/DC_Cost!J55</f>
        <v>1.12300288885056</v>
      </c>
      <c r="D20" s="28" t="s">
        <v>97</v>
      </c>
      <c r="E20" s="91" t="s">
        <v>3534</v>
      </c>
      <c r="F20" s="42" t="s">
        <v>3535</v>
      </c>
    </row>
    <row r="21" customFormat="false" ht="39" hidden="false" customHeight="true" outlineLevel="0" collapsed="false">
      <c r="A21" s="6" t="s">
        <v>3536</v>
      </c>
      <c r="B21" s="197" t="n">
        <f aca="false">DC_Cost!J11*Inputs!$E$10/72</f>
        <v>1.51111111111111</v>
      </c>
      <c r="C21" s="28" t="s">
        <v>3537</v>
      </c>
      <c r="D21" s="28" t="s">
        <v>3538</v>
      </c>
      <c r="E21" s="85" t="s">
        <v>3539</v>
      </c>
      <c r="F21" s="42" t="s">
        <v>452</v>
      </c>
    </row>
    <row r="22" customFormat="false" ht="29.25" hidden="false" customHeight="true" outlineLevel="0" collapsed="false">
      <c r="A22" s="6" t="s">
        <v>3540</v>
      </c>
      <c r="B22" s="197" t="n">
        <f aca="false">Sens_Perf!C121</f>
        <v>0.687408933936638</v>
      </c>
      <c r="C22" s="28" t="s">
        <v>3541</v>
      </c>
      <c r="D22" s="28" t="s">
        <v>97</v>
      </c>
      <c r="E22" s="91"/>
      <c r="F22" s="42" t="s">
        <v>3535</v>
      </c>
    </row>
    <row r="23" customFormat="false" ht="15" hidden="false" customHeight="true" outlineLevel="0" collapsed="false">
      <c r="A23" s="5" t="s">
        <v>3542</v>
      </c>
      <c r="B23" s="197" t="n">
        <f aca="false">Calib!C149</f>
        <v>0.702796711119185</v>
      </c>
      <c r="C23" s="28" t="s">
        <v>3514</v>
      </c>
      <c r="D23" s="28" t="s">
        <v>97</v>
      </c>
      <c r="E23" s="85" t="s">
        <v>3543</v>
      </c>
      <c r="F23" s="42" t="s">
        <v>3544</v>
      </c>
    </row>
    <row r="24" customFormat="false" ht="15" hidden="false" customHeight="true" outlineLevel="0" collapsed="false">
      <c r="A24" s="5" t="s">
        <v>3545</v>
      </c>
      <c r="B24" s="197" t="n">
        <f aca="false">Calib!C150</f>
        <v>2.5251262330147</v>
      </c>
      <c r="C24" s="183" t="n">
        <f aca="false">Calib!C151</f>
        <v>2.5748897461993</v>
      </c>
      <c r="D24" s="28" t="s">
        <v>97</v>
      </c>
      <c r="E24" s="91" t="s">
        <v>3546</v>
      </c>
      <c r="F24" s="42" t="s">
        <v>3547</v>
      </c>
    </row>
    <row r="25" customFormat="false" ht="39" hidden="false" customHeight="true" outlineLevel="0" collapsed="false">
      <c r="A25" s="5" t="s">
        <v>3548</v>
      </c>
      <c r="B25" s="197" t="n">
        <f aca="false">Calib!C152</f>
        <v>1.5</v>
      </c>
      <c r="C25" s="183" t="n">
        <f aca="false">Calib!D152</f>
        <v>1.05487728759394</v>
      </c>
      <c r="D25" s="28" t="s">
        <v>97</v>
      </c>
      <c r="E25" s="85" t="s">
        <v>3549</v>
      </c>
      <c r="F25" s="42" t="s">
        <v>3550</v>
      </c>
    </row>
    <row r="26" customFormat="false" ht="15" hidden="false" customHeight="true" outlineLevel="0" collapsed="false">
      <c r="A26" s="5" t="s">
        <v>3551</v>
      </c>
      <c r="B26" s="215" t="n">
        <f aca="false">MAX(Perf!C116:Q116)</f>
        <v>0.067482803137983</v>
      </c>
      <c r="C26" s="28" t="s">
        <v>3552</v>
      </c>
      <c r="D26" s="28" t="s">
        <v>93</v>
      </c>
      <c r="E26" s="91" t="s">
        <v>3553</v>
      </c>
      <c r="F26" s="42" t="s">
        <v>3554</v>
      </c>
    </row>
    <row r="27" customFormat="false" ht="15" hidden="false" customHeight="true" outlineLevel="0" collapsed="false">
      <c r="A27" s="6" t="s">
        <v>3555</v>
      </c>
      <c r="B27" s="197" t="n">
        <f aca="false">COUNTIF(Perf!C90:Q90,"SLO 不可達")</f>
        <v>0</v>
      </c>
      <c r="C27" s="28" t="s">
        <v>608</v>
      </c>
      <c r="D27" s="41" t="s">
        <v>3556</v>
      </c>
      <c r="E27" s="85" t="s">
        <v>3557</v>
      </c>
      <c r="F27" s="42" t="s">
        <v>3558</v>
      </c>
    </row>
    <row r="28" customFormat="false" ht="39" hidden="false" customHeight="true" outlineLevel="0" collapsed="false">
      <c r="A28" s="5" t="s">
        <v>3559</v>
      </c>
      <c r="B28" s="197" t="n">
        <f aca="false">((8*1.32+3.96)/9)/((8*Unit_Cost!J32+Unit_Cost!J34)/9)</f>
        <v>13.4794357051153</v>
      </c>
      <c r="C28" s="28" t="s">
        <v>608</v>
      </c>
      <c r="D28" s="28" t="s">
        <v>97</v>
      </c>
      <c r="E28" s="85" t="s">
        <v>3560</v>
      </c>
      <c r="F28" s="42" t="s">
        <v>3561</v>
      </c>
    </row>
    <row r="30" customFormat="false" ht="15" hidden="false" customHeight="true" outlineLevel="0" collapsed="false">
      <c r="A30" s="40" t="s">
        <v>3562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357</v>
      </c>
      <c r="B31" s="9" t="s">
        <v>3512</v>
      </c>
      <c r="C31" s="9" t="s">
        <v>3497</v>
      </c>
      <c r="D31" s="9" t="s">
        <v>77</v>
      </c>
      <c r="E31" s="9" t="s">
        <v>529</v>
      </c>
      <c r="F31" s="9" t="s">
        <v>451</v>
      </c>
    </row>
    <row r="32" customFormat="false" ht="39" hidden="false" customHeight="true" outlineLevel="0" collapsed="false">
      <c r="A32" s="6" t="s">
        <v>3563</v>
      </c>
      <c r="B32" s="188" t="n">
        <f aca="false">3*(2*Calib!$C$101*1000000000+Calib!$C$109*Train_In!$C$43/2)*Train_In!$C$41*1000000000000/(Train_In!$C$42*1000000*3600*Spec_Rack!$C$40*1000000000000000)</f>
        <v>0.197055428667677</v>
      </c>
      <c r="C32" s="187" t="n">
        <f aca="false">Training!C16</f>
        <v>0.25</v>
      </c>
      <c r="D32" s="28" t="s">
        <v>93</v>
      </c>
      <c r="E32" s="91" t="s">
        <v>3564</v>
      </c>
      <c r="F32" s="42" t="s">
        <v>973</v>
      </c>
    </row>
    <row r="33" customFormat="false" ht="26.25" hidden="false" customHeight="true" outlineLevel="0" collapsed="false">
      <c r="A33" s="6" t="s">
        <v>3565</v>
      </c>
      <c r="B33" s="197" t="n">
        <f aca="false">Training!N78</f>
        <v>1.12717162997901</v>
      </c>
      <c r="C33" s="48" t="n">
        <f aca="false">L1!$M$33</f>
        <v>1</v>
      </c>
      <c r="D33" s="28" t="s">
        <v>97</v>
      </c>
      <c r="E33" s="85" t="s">
        <v>3566</v>
      </c>
      <c r="F33" s="42" t="s">
        <v>3567</v>
      </c>
    </row>
    <row r="34" customFormat="false" ht="26.25" hidden="false" customHeight="true" outlineLevel="0" collapsed="false">
      <c r="A34" s="6" t="s">
        <v>3568</v>
      </c>
      <c r="B34" s="197" t="n">
        <f aca="false">Training!M78</f>
        <v>0.371397626434424</v>
      </c>
      <c r="C34" s="48" t="n">
        <f aca="false">L1!$M$32</f>
        <v>0.0551801801801802</v>
      </c>
      <c r="D34" s="28" t="s">
        <v>97</v>
      </c>
      <c r="E34" s="85" t="s">
        <v>3569</v>
      </c>
      <c r="F34" s="42" t="s">
        <v>3570</v>
      </c>
    </row>
    <row r="35" customFormat="false" ht="15" hidden="false" customHeight="true" outlineLevel="0" collapsed="false">
      <c r="A35" s="6" t="s">
        <v>3571</v>
      </c>
      <c r="B35" s="188" t="n">
        <f aca="false">Training!N77</f>
        <v>0.0679835504547044</v>
      </c>
      <c r="C35" s="203" t="s">
        <v>3572</v>
      </c>
      <c r="D35" s="28" t="s">
        <v>93</v>
      </c>
      <c r="E35" s="91" t="s">
        <v>3573</v>
      </c>
      <c r="F35" s="52" t="s">
        <v>3574</v>
      </c>
    </row>
    <row r="36" customFormat="false" ht="29.25" hidden="false" customHeight="true" outlineLevel="0" collapsed="false">
      <c r="A36" s="5" t="s">
        <v>3575</v>
      </c>
      <c r="B36" s="188" t="n">
        <f aca="false">IF(AND(ISNUMBER(Training!N111),ISNUMBER(Training!N110)),Training!N111-Training!N110,Training!N111)</f>
        <v>0.252262860133895</v>
      </c>
      <c r="C36" s="203" t="s">
        <v>3576</v>
      </c>
      <c r="D36" s="28" t="s">
        <v>93</v>
      </c>
      <c r="E36" s="85" t="s">
        <v>3577</v>
      </c>
      <c r="F36" s="42" t="s">
        <v>3578</v>
      </c>
    </row>
    <row r="37" customFormat="false" ht="15" hidden="false" customHeight="true" outlineLevel="0" collapsed="false">
      <c r="A37" s="5" t="s">
        <v>3579</v>
      </c>
      <c r="B37" s="188" t="n">
        <f aca="false">1/Train_In!$C$13</f>
        <v>0.125</v>
      </c>
      <c r="C37" s="187" t="str">
        <f aca="false">TEXT(L1!$M$34*100,"0.0")&amp;"%–"&amp;TEXT(L1!$N$34*100,"0.0")&amp;"%"</f>
        <v>9.6%–22.6%</v>
      </c>
      <c r="D37" s="28" t="s">
        <v>93</v>
      </c>
      <c r="E37" s="85" t="s">
        <v>3580</v>
      </c>
      <c r="F37" s="42" t="s">
        <v>3581</v>
      </c>
    </row>
    <row r="38" customFormat="false" ht="36.75" hidden="false" customHeight="true" outlineLevel="0" collapsed="false">
      <c r="A38" s="5" t="s">
        <v>3582</v>
      </c>
      <c r="B38" s="197" t="n">
        <f aca="false">Train_In!$C$47/(Training!N34*1000000000)/1000000000000</f>
        <v>438.443429242364</v>
      </c>
      <c r="C38" s="48" t="n">
        <f aca="false">Training!N31</f>
        <v>60</v>
      </c>
      <c r="D38" s="28" t="s">
        <v>942</v>
      </c>
      <c r="E38" s="85" t="s">
        <v>3583</v>
      </c>
      <c r="F38" s="42" t="s">
        <v>3584</v>
      </c>
    </row>
    <row r="39" customFormat="false" ht="29.25" hidden="false" customHeight="true" outlineLevel="0" collapsed="false">
      <c r="A39" s="6" t="s">
        <v>3585</v>
      </c>
      <c r="B39" s="188" t="n">
        <f aca="false">Training!N117</f>
        <v>0.00500223043232874</v>
      </c>
      <c r="C39" s="187" t="n">
        <f aca="false">Training!K117</f>
        <v>0.00819830093710954</v>
      </c>
      <c r="D39" s="28" t="s">
        <v>93</v>
      </c>
      <c r="E39" s="91" t="s">
        <v>3586</v>
      </c>
      <c r="F39" s="42" t="s">
        <v>3587</v>
      </c>
    </row>
    <row r="41" customFormat="false" ht="15" hidden="false" customHeight="true" outlineLevel="0" collapsed="false">
      <c r="A41" s="40" t="s">
        <v>3588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357</v>
      </c>
      <c r="B42" s="9" t="s">
        <v>3512</v>
      </c>
      <c r="C42" s="9" t="s">
        <v>3497</v>
      </c>
      <c r="D42" s="9" t="s">
        <v>77</v>
      </c>
      <c r="E42" s="9" t="s">
        <v>529</v>
      </c>
      <c r="F42" s="9" t="s">
        <v>451</v>
      </c>
      <c r="H42" s="9" t="s">
        <v>3589</v>
      </c>
    </row>
    <row r="43" customFormat="false" ht="51.75" hidden="false" customHeight="true" outlineLevel="0" collapsed="false">
      <c r="A43" s="6" t="s">
        <v>3590</v>
      </c>
      <c r="B43" s="197" t="n">
        <f aca="false">IF(AND(ISNUMBER(Theory_Rev!D67),ISNUMBER(Theory_Rev!G67)),$I$46*Theory_Rev!D67+(1-$I$46)*Theory_Rev!G67,"SLO 不可達")</f>
        <v>10.9578708377053</v>
      </c>
      <c r="C43" s="48" t="n">
        <f aca="false">L1!$M$35</f>
        <v>10.456</v>
      </c>
      <c r="D43" s="28" t="s">
        <v>3591</v>
      </c>
      <c r="E43" s="91" t="s">
        <v>3592</v>
      </c>
      <c r="F43" s="42" t="s">
        <v>3593</v>
      </c>
      <c r="H43" s="42" t="s">
        <v>3594</v>
      </c>
      <c r="I43" s="183" t="n">
        <f aca="false">SRC_DEM_007</f>
        <v>13.07</v>
      </c>
    </row>
    <row r="44" customFormat="false" ht="43.5" hidden="false" customHeight="true" outlineLevel="0" collapsed="false">
      <c r="A44" s="6" t="s">
        <v>3595</v>
      </c>
      <c r="B44" s="197" t="n">
        <f aca="false">IF(ISNUMBER(Unit_Cost!D34),INDEX(B4_MktOut,8,1)/Unit_Cost!D34,"SLO 不可達")</f>
        <v>0.939381136656427</v>
      </c>
      <c r="C44" s="216" t="s">
        <v>3596</v>
      </c>
      <c r="D44" s="28" t="s">
        <v>97</v>
      </c>
      <c r="E44" s="85" t="s">
        <v>3597</v>
      </c>
      <c r="F44" s="42" t="s">
        <v>3598</v>
      </c>
      <c r="H44" s="42" t="s">
        <v>3599</v>
      </c>
      <c r="I44" s="183" t="n">
        <f aca="false">SRC_DEM_008</f>
        <v>0.6</v>
      </c>
    </row>
    <row r="45" customFormat="false" ht="29.25" hidden="false" customHeight="true" outlineLevel="0" collapsed="false">
      <c r="A45" s="6" t="s">
        <v>3600</v>
      </c>
      <c r="B45" s="197" t="n">
        <f aca="false">IF(ISNUMBER(Unit_Cost!D31),INDEX(B4_MktOut,8,1)*B4_OffPeak/Unit_Cost!D31,"SLO 不可達")</f>
        <v>0.782817613880356</v>
      </c>
      <c r="C45" s="216" t="s">
        <v>3596</v>
      </c>
      <c r="D45" s="28" t="s">
        <v>97</v>
      </c>
      <c r="E45" s="91"/>
      <c r="F45" s="42" t="s">
        <v>3601</v>
      </c>
      <c r="H45" s="42" t="s">
        <v>3602</v>
      </c>
      <c r="I45" s="183" t="n">
        <f aca="false">SRC_DEM_009</f>
        <v>1.9</v>
      </c>
    </row>
    <row r="46" customFormat="false" ht="43.5" hidden="false" customHeight="true" outlineLevel="0" collapsed="false">
      <c r="A46" s="6" t="s">
        <v>3603</v>
      </c>
      <c r="B46" s="197" t="n">
        <f aca="false">IF(ISNUMBER(Unit_Cost!D21),INDEX(B4_MktOut,7,1)/Unit_Cost!D21,"SLO 不可達")</f>
        <v>0.9769467268625</v>
      </c>
      <c r="C46" s="216" t="s">
        <v>3596</v>
      </c>
      <c r="D46" s="28" t="s">
        <v>97</v>
      </c>
      <c r="E46" s="85" t="s">
        <v>3604</v>
      </c>
      <c r="F46" s="42" t="s">
        <v>3601</v>
      </c>
      <c r="H46" s="42" t="s">
        <v>3605</v>
      </c>
      <c r="I46" s="51" t="n">
        <v>0.57</v>
      </c>
      <c r="J46" s="42" t="s">
        <v>3606</v>
      </c>
    </row>
    <row r="47" customFormat="false" ht="15" hidden="false" customHeight="true" outlineLevel="0" collapsed="false">
      <c r="A47" s="5" t="s">
        <v>3607</v>
      </c>
      <c r="B47" s="197" t="str">
        <f aca="false">Price_Frontier!C26</f>
        <v>GPT-6 Luna</v>
      </c>
      <c r="C47" s="216" t="s">
        <v>608</v>
      </c>
      <c r="D47" s="41"/>
      <c r="E47" s="85" t="s">
        <v>3608</v>
      </c>
      <c r="F47" s="42" t="s">
        <v>3609</v>
      </c>
    </row>
    <row r="48" customFormat="false" ht="15" hidden="false" customHeight="true" outlineLevel="0" collapsed="false">
      <c r="A48" s="5" t="s">
        <v>3610</v>
      </c>
      <c r="B48" s="197" t="str">
        <f aca="false">Price_Frontier!D26</f>
        <v>GPT-6 Sol</v>
      </c>
      <c r="C48" s="216" t="s">
        <v>608</v>
      </c>
      <c r="D48" s="41"/>
      <c r="E48" s="91"/>
      <c r="F48" s="42" t="s">
        <v>3609</v>
      </c>
    </row>
    <row r="49" customFormat="false" ht="39" hidden="false" customHeight="true" outlineLevel="0" collapsed="false">
      <c r="A49" s="5" t="s">
        <v>3611</v>
      </c>
      <c r="B49" s="197" t="str">
        <f aca="false">Price_Frontier!E26</f>
        <v>Claude Fable 5.1</v>
      </c>
      <c r="C49" s="216" t="s">
        <v>608</v>
      </c>
      <c r="D49" s="41"/>
      <c r="E49" s="85" t="s">
        <v>3612</v>
      </c>
      <c r="F49" s="42" t="s">
        <v>3609</v>
      </c>
    </row>
    <row r="50" customFormat="false" ht="26.25" hidden="false" customHeight="true" outlineLevel="0" collapsed="false">
      <c r="A50" s="5" t="s">
        <v>3613</v>
      </c>
      <c r="B50" s="197" t="n">
        <f aca="false">Price_Frontier!C33</f>
        <v>1.29646017699115</v>
      </c>
      <c r="C50" s="216" t="s">
        <v>3614</v>
      </c>
      <c r="D50" s="28" t="s">
        <v>97</v>
      </c>
      <c r="E50" s="85" t="s">
        <v>3615</v>
      </c>
      <c r="F50" s="42" t="s">
        <v>3609</v>
      </c>
    </row>
    <row r="51" customFormat="false" ht="29.25" hidden="false" customHeight="true" outlineLevel="0" collapsed="false">
      <c r="A51" s="5" t="s">
        <v>3616</v>
      </c>
      <c r="B51" s="197" t="n">
        <f aca="false">Fleet_1GW!M34</f>
        <v>12.1291102743968</v>
      </c>
      <c r="C51" s="216" t="s">
        <v>3617</v>
      </c>
      <c r="D51" s="41" t="s">
        <v>316</v>
      </c>
      <c r="E51" s="91" t="s">
        <v>3618</v>
      </c>
      <c r="F51" s="42" t="s">
        <v>3619</v>
      </c>
    </row>
    <row r="52" customFormat="false" ht="29.25" hidden="false" customHeight="true" outlineLevel="0" collapsed="false">
      <c r="A52" s="6" t="s">
        <v>3620</v>
      </c>
      <c r="B52" s="197" t="n">
        <f aca="false">Fleet_1GW!M30</f>
        <v>0</v>
      </c>
      <c r="C52" s="216" t="s">
        <v>3621</v>
      </c>
      <c r="D52" s="28" t="s">
        <v>85</v>
      </c>
      <c r="E52" s="91"/>
      <c r="F52" s="42" t="s">
        <v>3619</v>
      </c>
    </row>
    <row r="53" customFormat="false" ht="29.25" hidden="false" customHeight="true" outlineLevel="0" collapsed="false">
      <c r="A53" s="5" t="s">
        <v>3622</v>
      </c>
      <c r="B53" s="189" t="n">
        <f aca="false">IF(ISNUMBER(Amortize!M22),Amortize!M22/INDEX(B4_EffRef,1,2),Amortize!M22)</f>
        <v>0.00436800867932075</v>
      </c>
      <c r="C53" s="216" t="s">
        <v>608</v>
      </c>
      <c r="D53" s="28" t="s">
        <v>93</v>
      </c>
      <c r="E53" s="91" t="s">
        <v>3623</v>
      </c>
      <c r="F53" s="42" t="s">
        <v>3624</v>
      </c>
    </row>
    <row r="54" customFormat="false" ht="39" hidden="false" customHeight="true" outlineLevel="0" collapsed="false">
      <c r="A54" s="6" t="s">
        <v>3625</v>
      </c>
      <c r="B54" s="197" t="n">
        <f aca="false">Amortize!M41</f>
        <v>8.17918362593439</v>
      </c>
      <c r="C54" s="216" t="s">
        <v>3626</v>
      </c>
      <c r="D54" s="28" t="s">
        <v>97</v>
      </c>
      <c r="E54" s="91" t="s">
        <v>3627</v>
      </c>
      <c r="F54" s="42" t="s">
        <v>3624</v>
      </c>
    </row>
    <row r="55" customFormat="false" ht="29.25" hidden="false" customHeight="true" outlineLevel="0" collapsed="false">
      <c r="A55" s="6" t="s">
        <v>3628</v>
      </c>
      <c r="B55" s="189" t="n">
        <f aca="false">IF(ISNUMBER(Amortize!M47),Amortize!M47/INDEX(B4_EffRef,1,3),Amortize!M47)</f>
        <v>0.178125569243108</v>
      </c>
      <c r="C55" s="216" t="s">
        <v>608</v>
      </c>
      <c r="D55" s="28" t="s">
        <v>93</v>
      </c>
      <c r="E55" s="91" t="s">
        <v>3629</v>
      </c>
      <c r="F55" s="42" t="s">
        <v>3624</v>
      </c>
    </row>
    <row r="56" customFormat="false" ht="29.25" hidden="false" customHeight="true" outlineLevel="0" collapsed="false">
      <c r="A56" s="5" t="s">
        <v>3630</v>
      </c>
      <c r="B56" s="197" t="n">
        <f aca="false">Theory_Rev!M64+Theory_Rev!M65+Theory_Rev!M66-Theory_Rev!M67</f>
        <v>0</v>
      </c>
      <c r="C56" s="216" t="s">
        <v>3621</v>
      </c>
      <c r="D56" s="28" t="s">
        <v>1796</v>
      </c>
      <c r="E56" s="91"/>
      <c r="F56" s="42" t="s">
        <v>3631</v>
      </c>
    </row>
    <row r="58" customFormat="false" ht="15" hidden="false" customHeight="true" outlineLevel="0" collapsed="false">
      <c r="A58" s="40" t="s">
        <v>3632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357</v>
      </c>
      <c r="B59" s="9" t="s">
        <v>3512</v>
      </c>
      <c r="C59" s="9" t="s">
        <v>3497</v>
      </c>
      <c r="D59" s="9" t="s">
        <v>77</v>
      </c>
      <c r="E59" s="9" t="s">
        <v>529</v>
      </c>
      <c r="F59" s="9" t="s">
        <v>451</v>
      </c>
    </row>
    <row r="60" customFormat="false" ht="39" hidden="false" customHeight="true" outlineLevel="0" collapsed="false">
      <c r="A60" s="5" t="s">
        <v>3633</v>
      </c>
      <c r="B60" s="217" t="n">
        <f aca="false">B5_W</f>
        <v>0</v>
      </c>
      <c r="C60" s="216" t="s">
        <v>3621</v>
      </c>
      <c r="D60" s="28" t="s">
        <v>97</v>
      </c>
      <c r="E60" s="85" t="s">
        <v>3634</v>
      </c>
      <c r="F60" s="42" t="s">
        <v>3635</v>
      </c>
    </row>
    <row r="61" customFormat="false" ht="29.25" hidden="false" customHeight="true" outlineLevel="0" collapsed="false">
      <c r="A61" s="6" t="s">
        <v>3636</v>
      </c>
      <c r="B61" s="197" t="n">
        <f aca="false">ABS(Workload!C35-Harness!C21)+ABS(Workload!D35-Harness!D21)+ABS(Workload!E35-Harness!E21)+ABS(Workload!F35-Harness!F21)+ABS(Workload!G35-Harness!G21)</f>
        <v>0</v>
      </c>
      <c r="C61" s="216" t="s">
        <v>3637</v>
      </c>
      <c r="D61" s="28" t="s">
        <v>279</v>
      </c>
      <c r="E61" s="85" t="s">
        <v>3638</v>
      </c>
      <c r="F61" s="42" t="s">
        <v>3639</v>
      </c>
    </row>
    <row r="62" customFormat="false" ht="39" hidden="false" customHeight="true" outlineLevel="0" collapsed="false">
      <c r="A62" s="6" t="s">
        <v>3640</v>
      </c>
      <c r="B62" s="197" t="n">
        <f aca="false">Harness!G45</f>
        <v>0.492530120481928</v>
      </c>
      <c r="C62" s="48" t="n">
        <f aca="false">Har_In!E72</f>
        <v>0.51</v>
      </c>
      <c r="D62" s="28" t="s">
        <v>97</v>
      </c>
      <c r="E62" s="91" t="s">
        <v>3641</v>
      </c>
      <c r="F62" s="42" t="s">
        <v>1960</v>
      </c>
    </row>
    <row r="63" customFormat="false" ht="39" hidden="false" customHeight="true" outlineLevel="0" collapsed="false">
      <c r="A63" s="6" t="s">
        <v>3642</v>
      </c>
      <c r="B63" s="197" t="n">
        <f aca="false">Harness!G138</f>
        <v>0.519797101771478</v>
      </c>
      <c r="C63" s="48" t="n">
        <f aca="false">(Har_In!D71/Har_In!C71)/(Har_In!D70/Har_In!C70)</f>
        <v>0.422310694422661</v>
      </c>
      <c r="D63" s="28" t="s">
        <v>97</v>
      </c>
      <c r="E63" s="91" t="s">
        <v>3643</v>
      </c>
      <c r="F63" s="42" t="s">
        <v>1960</v>
      </c>
    </row>
    <row r="64" customFormat="false" ht="39" hidden="false" customHeight="true" outlineLevel="0" collapsed="false">
      <c r="A64" s="6" t="s">
        <v>3644</v>
      </c>
      <c r="B64" s="197" t="n">
        <f aca="false">((1/Har_In!C70-1)/(1/Har_In!C71-1))^(1/B5_Beta)</f>
        <v>145.519176037217</v>
      </c>
      <c r="C64" s="216" t="s">
        <v>3645</v>
      </c>
      <c r="D64" s="28" t="s">
        <v>97</v>
      </c>
      <c r="E64" s="91" t="s">
        <v>3646</v>
      </c>
      <c r="F64" s="42" t="s">
        <v>3647</v>
      </c>
    </row>
    <row r="65" customFormat="false" ht="15" hidden="false" customHeight="true" outlineLevel="0" collapsed="false">
      <c r="A65" s="6" t="s">
        <v>3648</v>
      </c>
      <c r="B65" s="197" t="n">
        <f aca="false">AVERAGE(Har_In!F77:F80)</f>
        <v>0.80134078201291</v>
      </c>
      <c r="C65" s="216" t="n">
        <f aca="false">B5_Beta</f>
        <v>0.75</v>
      </c>
      <c r="D65" s="28" t="s">
        <v>97</v>
      </c>
      <c r="E65" s="91" t="s">
        <v>3649</v>
      </c>
      <c r="F65" s="42" t="s">
        <v>1979</v>
      </c>
    </row>
    <row r="66" customFormat="false" ht="29.25" hidden="false" customHeight="true" outlineLevel="0" collapsed="false">
      <c r="A66" s="6" t="s">
        <v>3650</v>
      </c>
      <c r="B66" s="188" t="n">
        <f aca="false">Harness!G62</f>
        <v>0.627115119175411</v>
      </c>
      <c r="C66" s="216" t="s">
        <v>608</v>
      </c>
      <c r="D66" s="28" t="s">
        <v>93</v>
      </c>
      <c r="E66" s="91" t="s">
        <v>3651</v>
      </c>
      <c r="F66" s="42" t="s">
        <v>3652</v>
      </c>
    </row>
    <row r="67" customFormat="false" ht="29.25" hidden="false" customHeight="true" outlineLevel="0" collapsed="false">
      <c r="A67" s="5" t="s">
        <v>3653</v>
      </c>
      <c r="B67" s="197" t="str">
        <f aca="false">Harness!G152</f>
        <v>Sol｜選定</v>
      </c>
      <c r="C67" s="48" t="str">
        <f aca="false">Harness!G148</f>
        <v>Luna｜選定</v>
      </c>
      <c r="D67" s="41"/>
      <c r="E67" s="91" t="s">
        <v>3654</v>
      </c>
      <c r="F67" s="42" t="s">
        <v>3655</v>
      </c>
    </row>
    <row r="68" customFormat="false" ht="29.25" hidden="false" customHeight="true" outlineLevel="0" collapsed="false">
      <c r="A68" s="6" t="s">
        <v>3656</v>
      </c>
      <c r="B68" s="197" t="n">
        <f aca="false">MIN(Sens_Har!C37:Z37)</f>
        <v>0.362241890594745</v>
      </c>
      <c r="C68" s="48" t="n">
        <f aca="false">MAX(Sens_Har!C37:Z37)</f>
        <v>0.769692548828187</v>
      </c>
      <c r="D68" s="28" t="s">
        <v>97</v>
      </c>
      <c r="E68" s="91" t="s">
        <v>3657</v>
      </c>
      <c r="F68" s="42" t="s">
        <v>3658</v>
      </c>
    </row>
    <row r="69" customFormat="false" ht="26.25" hidden="false" customHeight="true" outlineLevel="0" collapsed="false">
      <c r="A69" s="5" t="s">
        <v>3659</v>
      </c>
      <c r="B69" s="202" t="n">
        <f aca="false">B5_PFloor</f>
        <v>0.5</v>
      </c>
      <c r="C69" s="216" t="s">
        <v>3660</v>
      </c>
      <c r="D69" s="28" t="s">
        <v>93</v>
      </c>
      <c r="E69" s="91" t="s">
        <v>3661</v>
      </c>
      <c r="F69" s="42" t="s">
        <v>3662</v>
      </c>
    </row>
    <row r="70" customFormat="false" ht="29.25" hidden="false" customHeight="true" outlineLevel="0" collapsed="false">
      <c r="A70" s="5" t="s">
        <v>3663</v>
      </c>
      <c r="B70" s="197" t="n">
        <f aca="false">COUNTIF(Harness!C152:G152,"無合格")</f>
        <v>0</v>
      </c>
      <c r="C70" s="216" t="s">
        <v>3664</v>
      </c>
      <c r="D70" s="41"/>
      <c r="E70" s="85" t="s">
        <v>3665</v>
      </c>
      <c r="F70" s="42" t="s">
        <v>3655</v>
      </c>
    </row>
    <row r="72" customFormat="false" ht="15" hidden="false" customHeight="true" outlineLevel="0" collapsed="false">
      <c r="A72" s="40" t="s">
        <v>3666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3667</v>
      </c>
      <c r="B73" s="9" t="s">
        <v>3668</v>
      </c>
      <c r="C73" s="9" t="s">
        <v>3669</v>
      </c>
      <c r="D73" s="9" t="s">
        <v>3670</v>
      </c>
      <c r="E73" s="9" t="s">
        <v>3671</v>
      </c>
    </row>
    <row r="74" customFormat="false" ht="15" hidden="false" customHeight="true" outlineLevel="0" collapsed="false">
      <c r="A74" s="28" t="s">
        <v>3672</v>
      </c>
      <c r="B74" s="41" t="s">
        <v>3673</v>
      </c>
      <c r="C74" s="8" t="s">
        <v>3674</v>
      </c>
      <c r="D74" s="30" t="n">
        <f aca="false">COUNTIF(Gov_Map!$V$5:$V$700,1)</f>
        <v>0</v>
      </c>
      <c r="E74" s="42" t="s">
        <v>3675</v>
      </c>
    </row>
    <row r="75" customFormat="false" ht="15" hidden="false" customHeight="true" outlineLevel="0" collapsed="false">
      <c r="A75" s="28" t="s">
        <v>3676</v>
      </c>
      <c r="B75" s="28" t="s">
        <v>3677</v>
      </c>
      <c r="C75" s="8" t="s">
        <v>3674</v>
      </c>
      <c r="D75" s="30" t="n">
        <f aca="false">COUNTIF(Gov_Map!$W$5:$W$700,1)</f>
        <v>0</v>
      </c>
      <c r="E75" s="42" t="s">
        <v>3678</v>
      </c>
    </row>
    <row r="76" customFormat="false" ht="15" hidden="false" customHeight="true" outlineLevel="0" collapsed="false">
      <c r="A76" s="28" t="s">
        <v>3679</v>
      </c>
      <c r="B76" s="28" t="s">
        <v>3680</v>
      </c>
      <c r="C76" s="8" t="s">
        <v>3674</v>
      </c>
      <c r="D76" s="30" t="n">
        <f aca="false">COUNTIF(Gov_Map!$X$5:$X$700,1)</f>
        <v>0</v>
      </c>
      <c r="E76" s="42" t="s">
        <v>3681</v>
      </c>
    </row>
    <row r="77" customFormat="false" ht="15" hidden="false" customHeight="true" outlineLevel="0" collapsed="false">
      <c r="A77" s="28" t="s">
        <v>3682</v>
      </c>
      <c r="B77" s="28" t="s">
        <v>3683</v>
      </c>
      <c r="C77" s="8" t="s">
        <v>3674</v>
      </c>
      <c r="D77" s="30" t="n">
        <f aca="false">COUNTIF(Gov_Map!$Y$5:$Y$700,1)</f>
        <v>0</v>
      </c>
      <c r="E77" s="42" t="s">
        <v>3678</v>
      </c>
    </row>
    <row r="78" customFormat="false" ht="15" hidden="false" customHeight="true" outlineLevel="0" collapsed="false">
      <c r="A78" s="28" t="s">
        <v>3684</v>
      </c>
      <c r="B78" s="28" t="s">
        <v>3685</v>
      </c>
      <c r="C78" s="8" t="s">
        <v>3674</v>
      </c>
      <c r="D78" s="30" t="n">
        <f aca="false">COUNTIF(Gov_Map!$Z$5:$Z$700,1)</f>
        <v>0</v>
      </c>
      <c r="E78" s="42" t="s">
        <v>3678</v>
      </c>
    </row>
    <row r="79" customFormat="false" ht="15" hidden="false" customHeight="true" outlineLevel="0" collapsed="false">
      <c r="A79" s="28" t="s">
        <v>3686</v>
      </c>
      <c r="B79" s="41" t="s">
        <v>3687</v>
      </c>
      <c r="C79" s="8" t="s">
        <v>3674</v>
      </c>
      <c r="D79" s="30" t="n">
        <f aca="false">COUNTIF(Gov_Map!$AA$5:$AA$700,1)</f>
        <v>0</v>
      </c>
      <c r="E79" s="42" t="s">
        <v>3688</v>
      </c>
    </row>
    <row r="80" customFormat="false" ht="15" hidden="false" customHeight="true" outlineLevel="0" collapsed="false">
      <c r="A80" s="28" t="s">
        <v>3689</v>
      </c>
      <c r="B80" s="41" t="s">
        <v>3690</v>
      </c>
      <c r="C80" s="8" t="s">
        <v>3674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2" t="s">
        <v>3691</v>
      </c>
    </row>
    <row r="81" customFormat="false" ht="15" hidden="false" customHeight="true" outlineLevel="0" collapsed="false">
      <c r="A81" s="28" t="s">
        <v>3692</v>
      </c>
      <c r="B81" s="28" t="s">
        <v>3693</v>
      </c>
      <c r="C81" s="8" t="s">
        <v>3674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2" t="s">
        <v>3694</v>
      </c>
    </row>
    <row r="82" customFormat="false" ht="15" hidden="false" customHeight="true" outlineLevel="0" collapsed="false">
      <c r="A82" s="28" t="s">
        <v>3695</v>
      </c>
      <c r="B82" s="41" t="s">
        <v>3696</v>
      </c>
      <c r="C82" s="8" t="s">
        <v>3674</v>
      </c>
      <c r="D82" s="30" t="n">
        <f aca="false">COUNTIF(Gov_Map!$AB$5:$AB$700,1)</f>
        <v>0</v>
      </c>
      <c r="E82" s="42" t="s">
        <v>3697</v>
      </c>
    </row>
    <row r="83" customFormat="false" ht="15" hidden="false" customHeight="true" outlineLevel="0" collapsed="false">
      <c r="A83" s="28" t="s">
        <v>3698</v>
      </c>
      <c r="B83" s="41" t="s">
        <v>3699</v>
      </c>
      <c r="C83" s="8" t="s">
        <v>3674</v>
      </c>
      <c r="D83" s="30" t="n">
        <f aca="false">COUNTIF(Gov_Map!$AC$5:$AC$700,1)</f>
        <v>0</v>
      </c>
      <c r="E83" s="42" t="s">
        <v>3700</v>
      </c>
    </row>
    <row r="84" customFormat="false" ht="15" hidden="false" customHeight="true" outlineLevel="0" collapsed="false">
      <c r="A84" s="28" t="s">
        <v>3701</v>
      </c>
      <c r="B84" s="28" t="s">
        <v>3702</v>
      </c>
      <c r="C84" s="8" t="s">
        <v>3674</v>
      </c>
      <c r="D84" s="30" t="n">
        <v>0</v>
      </c>
      <c r="E84" s="52" t="s">
        <v>3703</v>
      </c>
    </row>
    <row r="85" customFormat="false" ht="15" hidden="false" customHeight="true" outlineLevel="0" collapsed="false">
      <c r="A85" s="28" t="s">
        <v>3704</v>
      </c>
      <c r="B85" s="41" t="s">
        <v>3705</v>
      </c>
      <c r="C85" s="8" t="s">
        <v>3674</v>
      </c>
      <c r="D85" s="30" t="n">
        <f aca="false">COUNTIF(Gov_Map!$AE$5:$AE$700,1)</f>
        <v>0</v>
      </c>
      <c r="E85" s="42" t="s">
        <v>3678</v>
      </c>
    </row>
    <row r="86" customFormat="false" ht="15" hidden="false" customHeight="true" outlineLevel="0" collapsed="false">
      <c r="A86" s="28" t="s">
        <v>3706</v>
      </c>
      <c r="B86" s="28" t="s">
        <v>3707</v>
      </c>
      <c r="C86" s="8" t="s">
        <v>3674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2" t="s">
        <v>3708</v>
      </c>
    </row>
    <row r="87" customFormat="false" ht="15" hidden="false" customHeight="true" outlineLevel="0" collapsed="false">
      <c r="A87" s="28" t="s">
        <v>3709</v>
      </c>
      <c r="B87" s="41" t="s">
        <v>3710</v>
      </c>
      <c r="C87" s="28" t="s">
        <v>3711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2" t="s">
        <v>3712</v>
      </c>
    </row>
    <row r="88" customFormat="false" ht="15" hidden="false" customHeight="true" outlineLevel="0" collapsed="false">
      <c r="A88" s="28" t="s">
        <v>3713</v>
      </c>
      <c r="B88" s="28" t="s">
        <v>3714</v>
      </c>
      <c r="C88" s="28" t="s">
        <v>3711</v>
      </c>
      <c r="D88" s="30" t="n">
        <f aca="false">COUNTIF(Gov_Map!$AD$5:$AD$700,1)</f>
        <v>0</v>
      </c>
      <c r="E88" s="42" t="s">
        <v>3715</v>
      </c>
    </row>
    <row r="89" customFormat="false" ht="15" hidden="false" customHeight="true" outlineLevel="0" collapsed="false">
      <c r="A89" s="28" t="s">
        <v>3716</v>
      </c>
      <c r="B89" s="28" t="s">
        <v>3717</v>
      </c>
      <c r="C89" s="28" t="s">
        <v>3718</v>
      </c>
      <c r="D89" s="30" t="n">
        <f aca="false">COUNTIF(DB_Evidence!$L$5:$L$500,"待判定")</f>
        <v>4</v>
      </c>
      <c r="E89" s="42" t="s">
        <v>3719</v>
      </c>
    </row>
    <row r="90" customFormat="false" ht="15" hidden="false" customHeight="true" outlineLevel="0" collapsed="false">
      <c r="A90" s="28" t="s">
        <v>3720</v>
      </c>
      <c r="B90" s="28" t="s">
        <v>3721</v>
      </c>
      <c r="C90" s="28" t="s">
        <v>3718</v>
      </c>
      <c r="D90" s="30" t="n">
        <f aca="false">COUNTIF(DB_Evidence!$L$5:$L$500,"待 Andy")</f>
        <v>0</v>
      </c>
      <c r="E90" s="42" t="s">
        <v>3719</v>
      </c>
    </row>
    <row r="91" customFormat="false" ht="15" hidden="false" customHeight="true" outlineLevel="0" collapsed="false">
      <c r="A91" s="28" t="s">
        <v>3722</v>
      </c>
      <c r="B91" s="28" t="s">
        <v>3723</v>
      </c>
      <c r="C91" s="28" t="s">
        <v>3718</v>
      </c>
      <c r="D91" s="30" t="n">
        <f aca="false">COUNTIF(L1!$P$5:$P$200,"低於外部區間")+COUNTIF(L1!$P$5:$P$200,"高於外部區間")+COUNTIF(L1!$P$5:$P$200,"差距 &gt;20%")</f>
        <v>18</v>
      </c>
      <c r="E91" s="42" t="s">
        <v>3724</v>
      </c>
    </row>
    <row r="92" customFormat="false" ht="15" hidden="false" customHeight="true" outlineLevel="0" collapsed="false">
      <c r="A92" s="28" t="s">
        <v>3725</v>
      </c>
      <c r="B92" s="41" t="s">
        <v>3726</v>
      </c>
      <c r="C92" s="28" t="s">
        <v>3718</v>
      </c>
      <c r="D92" s="30" t="n">
        <f aca="false">COUNTIF(Gov_Map!$F$5:$F$700,"原始數據（G0-2 保留）")</f>
        <v>14</v>
      </c>
      <c r="E92" s="42" t="s">
        <v>3678</v>
      </c>
    </row>
    <row r="93" customFormat="false" ht="15" hidden="false" customHeight="true" outlineLevel="0" collapsed="false">
      <c r="A93" s="28" t="s">
        <v>3727</v>
      </c>
      <c r="B93" s="28" t="s">
        <v>3728</v>
      </c>
      <c r="C93" s="28" t="s">
        <v>3718</v>
      </c>
      <c r="D93" s="30" t="n">
        <f aca="false">COUNTIF(Gov_Map!$F$5:$F$700,"Derived（待改公式）")</f>
        <v>0</v>
      </c>
      <c r="E93" s="42" t="s">
        <v>3729</v>
      </c>
    </row>
    <row r="94" customFormat="false" ht="15" hidden="false" customHeight="true" outlineLevel="0" collapsed="false">
      <c r="A94" s="28" t="s">
        <v>3730</v>
      </c>
      <c r="B94" s="41" t="s">
        <v>3731</v>
      </c>
      <c r="C94" s="28" t="s">
        <v>3718</v>
      </c>
      <c r="D94" s="30" t="n">
        <f aca="false">COUNTIF(Gov_Map!$M$5:$M$700,"結構選擇（無數值區間）")</f>
        <v>26</v>
      </c>
      <c r="E94" s="42" t="s">
        <v>3678</v>
      </c>
    </row>
    <row r="95" customFormat="false" ht="15" hidden="false" customHeight="true" outlineLevel="0" collapsed="false">
      <c r="A95" s="28" t="s">
        <v>3732</v>
      </c>
      <c r="B95" s="41" t="s">
        <v>3733</v>
      </c>
      <c r="C95" s="28" t="s">
        <v>3718</v>
      </c>
      <c r="D95" s="30" t="n">
        <f aca="false">COUNTIF(Gov_Map!$F$5:$F$700,"原始數據（切片二）")</f>
        <v>3</v>
      </c>
      <c r="E95" s="42" t="s">
        <v>3734</v>
      </c>
    </row>
    <row r="96" customFormat="false" ht="15" hidden="false" customHeight="true" outlineLevel="0" collapsed="false">
      <c r="A96" s="28" t="s">
        <v>3735</v>
      </c>
      <c r="B96" s="41" t="s">
        <v>3736</v>
      </c>
      <c r="C96" s="28" t="s">
        <v>3718</v>
      </c>
      <c r="D96" s="30" t="n">
        <f aca="false">COUNTIF(Gov_Map!$O$5:$O$700,"&lt;&gt;—")-COUNTIF(Gov_Map!$O$5:$O$700,"")</f>
        <v>54</v>
      </c>
      <c r="E96" s="42" t="s">
        <v>3737</v>
      </c>
    </row>
    <row r="97" customFormat="false" ht="15" hidden="false" customHeight="true" outlineLevel="0" collapsed="false">
      <c r="B97" s="8" t="s">
        <v>3738</v>
      </c>
      <c r="D97" s="218" t="n">
        <f aca="false">D74+D75+D76+D77+D78+D79+D80+D81+D82+D83+D84+D85+D86+D104+D105+D110+D114+D119+D120+D136</f>
        <v>0</v>
      </c>
    </row>
    <row r="98" customFormat="false" ht="15" hidden="false" customHeight="true" outlineLevel="0" collapsed="false">
      <c r="B98" s="8" t="s">
        <v>3739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3740</v>
      </c>
      <c r="D99" s="30" t="n">
        <f aca="false">D89+D90+D91+D92+D93+D94+D95+D96+D121+D122+D123+D124+D132</f>
        <v>169</v>
      </c>
    </row>
    <row r="100" customFormat="false" ht="15" hidden="false" customHeight="true" outlineLevel="0" collapsed="false">
      <c r="B100" s="52" t="s">
        <v>3741</v>
      </c>
    </row>
    <row r="102" customFormat="false" ht="15" hidden="false" customHeight="true" outlineLevel="0" collapsed="false">
      <c r="A102" s="40" t="s">
        <v>3742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3667</v>
      </c>
      <c r="B103" s="9" t="s">
        <v>3668</v>
      </c>
      <c r="C103" s="9" t="s">
        <v>3669</v>
      </c>
      <c r="D103" s="9" t="s">
        <v>3670</v>
      </c>
      <c r="E103" s="9" t="s">
        <v>3671</v>
      </c>
    </row>
    <row r="104" customFormat="false" ht="15" hidden="false" customHeight="true" outlineLevel="0" collapsed="false">
      <c r="A104" s="28" t="s">
        <v>3743</v>
      </c>
      <c r="B104" s="41" t="s">
        <v>3744</v>
      </c>
      <c r="C104" s="8" t="s">
        <v>3674</v>
      </c>
      <c r="D104" s="30" t="n">
        <f aca="false">IF(ABS(SUM(AL_MixGen)-1)&gt;0.000000001,1,0)</f>
        <v>0</v>
      </c>
      <c r="E104" s="42" t="s">
        <v>3745</v>
      </c>
    </row>
    <row r="105" customFormat="false" ht="15" hidden="false" customHeight="true" outlineLevel="0" collapsed="false">
      <c r="A105" s="28" t="s">
        <v>3746</v>
      </c>
      <c r="B105" s="28" t="s">
        <v>3747</v>
      </c>
      <c r="C105" s="8" t="s">
        <v>3674</v>
      </c>
      <c r="D105" s="30" t="n">
        <f aca="false">SUM(AL_SensCheck)</f>
        <v>0</v>
      </c>
      <c r="E105" s="42" t="s">
        <v>3748</v>
      </c>
    </row>
    <row r="106" customFormat="false" ht="15" hidden="false" customHeight="true" outlineLevel="0" collapsed="false">
      <c r="A106" s="28" t="s">
        <v>3749</v>
      </c>
      <c r="B106" s="28" t="s">
        <v>3750</v>
      </c>
      <c r="C106" s="8" t="s">
        <v>3711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2" t="s">
        <v>3751</v>
      </c>
    </row>
    <row r="108" customFormat="false" ht="15" hidden="false" customHeight="true" outlineLevel="0" collapsed="false">
      <c r="A108" s="40" t="s">
        <v>3752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3667</v>
      </c>
      <c r="B109" s="9" t="s">
        <v>3668</v>
      </c>
      <c r="C109" s="9" t="s">
        <v>3669</v>
      </c>
      <c r="D109" s="9" t="s">
        <v>3670</v>
      </c>
      <c r="E109" s="9" t="s">
        <v>3671</v>
      </c>
    </row>
    <row r="110" customFormat="false" ht="15" hidden="false" customHeight="true" outlineLevel="0" collapsed="false">
      <c r="A110" s="28" t="s">
        <v>3753</v>
      </c>
      <c r="B110" s="41" t="s">
        <v>3754</v>
      </c>
      <c r="C110" s="8" t="s">
        <v>3674</v>
      </c>
      <c r="D110" s="31" t="n">
        <f aca="false">SUM(Theory_Rev_Prod!C90:Q96)</f>
        <v>0</v>
      </c>
      <c r="E110" s="42" t="s">
        <v>3755</v>
      </c>
    </row>
    <row r="112" customFormat="false" ht="15" hidden="false" customHeight="true" outlineLevel="0" collapsed="false">
      <c r="A112" s="40" t="s">
        <v>3756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3667</v>
      </c>
      <c r="B113" s="9" t="s">
        <v>3668</v>
      </c>
      <c r="C113" s="9" t="s">
        <v>3669</v>
      </c>
      <c r="D113" s="9" t="s">
        <v>3670</v>
      </c>
      <c r="E113" s="9" t="s">
        <v>3671</v>
      </c>
    </row>
    <row r="114" customFormat="false" ht="15" hidden="false" customHeight="true" outlineLevel="0" collapsed="false">
      <c r="A114" s="28" t="s">
        <v>3757</v>
      </c>
      <c r="B114" s="41" t="s">
        <v>3758</v>
      </c>
      <c r="C114" s="8" t="s">
        <v>3674</v>
      </c>
      <c r="D114" s="31" t="n">
        <f aca="false">SUM(Theory_Rev!C96:Q99)</f>
        <v>0</v>
      </c>
      <c r="E114" s="42" t="s">
        <v>3759</v>
      </c>
    </row>
    <row r="116" customFormat="false" ht="15" hidden="false" customHeight="true" outlineLevel="0" collapsed="false">
      <c r="A116" s="40" t="s">
        <v>3760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3667</v>
      </c>
      <c r="B117" s="9" t="s">
        <v>3668</v>
      </c>
      <c r="C117" s="9" t="s">
        <v>3669</v>
      </c>
      <c r="D117" s="9" t="s">
        <v>3670</v>
      </c>
      <c r="E117" s="9" t="s">
        <v>3671</v>
      </c>
    </row>
    <row r="118" customFormat="false" ht="57.75" hidden="false" customHeight="true" outlineLevel="0" collapsed="false">
      <c r="A118" s="28" t="s">
        <v>3761</v>
      </c>
      <c r="B118" s="6" t="s">
        <v>3762</v>
      </c>
      <c r="C118" s="28" t="s">
        <v>3711</v>
      </c>
      <c r="D118" s="30" t="n">
        <f aca="false">COUNTIF(Interface!$R$6:$R$315,"—")</f>
        <v>0</v>
      </c>
      <c r="E118" s="42" t="s">
        <v>3763</v>
      </c>
    </row>
    <row r="119" customFormat="false" ht="72" hidden="false" customHeight="true" outlineLevel="0" collapsed="false">
      <c r="A119" s="28" t="s">
        <v>3764</v>
      </c>
      <c r="B119" s="6" t="s">
        <v>3765</v>
      </c>
      <c r="C119" s="8" t="s">
        <v>3674</v>
      </c>
      <c r="D119" s="30" t="n">
        <f aca="false">SUMPRODUCT((Interface!$R$6:$R$315="A")*(Interface!$Y$6:$Y$315=1)*(Interface!$X$6:$X$315=0))</f>
        <v>0</v>
      </c>
      <c r="E119" s="42" t="s">
        <v>3766</v>
      </c>
    </row>
    <row r="120" customFormat="false" ht="86.25" hidden="false" customHeight="true" outlineLevel="0" collapsed="false">
      <c r="A120" s="28" t="s">
        <v>3767</v>
      </c>
      <c r="B120" s="5" t="s">
        <v>3768</v>
      </c>
      <c r="C120" s="8" t="s">
        <v>3674</v>
      </c>
      <c r="D120" s="30" t="n">
        <f aca="false">SUM(Interface!C289:Q310)</f>
        <v>0</v>
      </c>
      <c r="E120" s="42" t="s">
        <v>3769</v>
      </c>
    </row>
    <row r="121" customFormat="false" ht="170.25" hidden="false" customHeight="true" outlineLevel="0" collapsed="false">
      <c r="A121" s="28" t="s">
        <v>3770</v>
      </c>
      <c r="B121" s="6" t="s">
        <v>3771</v>
      </c>
      <c r="C121" s="28" t="s">
        <v>3718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2" t="s">
        <v>3772</v>
      </c>
    </row>
    <row r="122" customFormat="false" ht="108.75" hidden="false" customHeight="true" outlineLevel="0" collapsed="false">
      <c r="A122" s="28" t="s">
        <v>3773</v>
      </c>
      <c r="B122" s="6" t="s">
        <v>3774</v>
      </c>
      <c r="C122" s="28" t="s">
        <v>3718</v>
      </c>
      <c r="D122" s="30" t="n">
        <f aca="false">LB_LiveCount</f>
        <v>50</v>
      </c>
      <c r="E122" s="42" t="s">
        <v>3775</v>
      </c>
    </row>
    <row r="123" customFormat="false" ht="54.75" hidden="false" customHeight="true" outlineLevel="0" collapsed="false">
      <c r="A123" s="28" t="s">
        <v>3776</v>
      </c>
      <c r="B123" s="6" t="s">
        <v>3777</v>
      </c>
      <c r="C123" s="28" t="s">
        <v>3718</v>
      </c>
      <c r="D123" s="30" t="n">
        <f aca="false">COUNTIF(LB_Days,"&gt;90")</f>
        <v>0</v>
      </c>
      <c r="E123" s="42" t="s">
        <v>3778</v>
      </c>
    </row>
    <row r="124" customFormat="false" ht="69" hidden="false" customHeight="true" outlineLevel="0" collapsed="false">
      <c r="A124" s="28" t="s">
        <v>3779</v>
      </c>
      <c r="B124" s="6" t="s">
        <v>3780</v>
      </c>
      <c r="C124" s="28" t="s">
        <v>3718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2" t="s">
        <v>3781</v>
      </c>
    </row>
    <row r="126" customFormat="false" ht="15" hidden="false" customHeight="true" outlineLevel="0" collapsed="false">
      <c r="A126" s="40" t="s">
        <v>3782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3667</v>
      </c>
      <c r="B127" s="9" t="s">
        <v>3668</v>
      </c>
      <c r="C127" s="9" t="s">
        <v>3669</v>
      </c>
      <c r="D127" s="9" t="s">
        <v>3670</v>
      </c>
      <c r="E127" s="9" t="s">
        <v>3671</v>
      </c>
    </row>
    <row r="128" customFormat="false" ht="111.75" hidden="false" customHeight="true" outlineLevel="0" collapsed="false">
      <c r="A128" s="28" t="s">
        <v>3783</v>
      </c>
      <c r="B128" s="6" t="s">
        <v>3784</v>
      </c>
      <c r="C128" s="28" t="s">
        <v>3711</v>
      </c>
      <c r="D128" s="30" t="n">
        <f aca="false">IF(ISNUMBER(L1_MImplied),IF(OR(L1_MImplied&lt;Gov_Map!$K$598,L1_MImplied&gt;Gov_Map!$L$598),1,0),0)</f>
        <v>1</v>
      </c>
      <c r="E128" s="42" t="s">
        <v>3785</v>
      </c>
    </row>
    <row r="129" customFormat="false" ht="97.5" hidden="false" customHeight="true" outlineLevel="0" collapsed="false">
      <c r="A129" s="28" t="s">
        <v>3786</v>
      </c>
      <c r="B129" s="5" t="s">
        <v>3787</v>
      </c>
      <c r="C129" s="28" t="s">
        <v>3711</v>
      </c>
      <c r="D129" s="30" t="n">
        <f aca="false">IF(AND(ISNUMBER(AL_DPaid),ISNUMBER(L1_TokCeiling)),IF(AL_DPaid&gt;L1_TokCeiling,1,0),0)</f>
        <v>0</v>
      </c>
      <c r="E129" s="42" t="s">
        <v>3788</v>
      </c>
    </row>
    <row r="130" customFormat="false" ht="97.5" hidden="false" customHeight="true" outlineLevel="0" collapsed="false">
      <c r="A130" s="28" t="s">
        <v>3789</v>
      </c>
      <c r="B130" s="6" t="s">
        <v>3790</v>
      </c>
      <c r="C130" s="28" t="s">
        <v>3711</v>
      </c>
      <c r="D130" s="30" t="n">
        <f aca="false">IF(ISNUMBER(L1_MFleet),IF(OR(L1_MFleet&lt;Gov_Map!$K$598,L1_MFleet&gt;Gov_Map!$L$598),1,0),0)</f>
        <v>0</v>
      </c>
      <c r="E130" s="42" t="s">
        <v>3791</v>
      </c>
    </row>
    <row r="131" customFormat="false" ht="86.25" hidden="false" customHeight="true" outlineLevel="0" collapsed="false">
      <c r="A131" s="28" t="s">
        <v>3792</v>
      </c>
      <c r="B131" s="5" t="s">
        <v>3793</v>
      </c>
      <c r="C131" s="28" t="s">
        <v>3711</v>
      </c>
      <c r="D131" s="30" t="n">
        <f aca="false">IF(ISNUMBER(Cap_In!$C$174),IF(OR(Cap_In!$C$174&lt;0.5,Cap_In!$C$174&gt;2),1,0),0)</f>
        <v>1</v>
      </c>
      <c r="E131" s="42" t="s">
        <v>3794</v>
      </c>
    </row>
    <row r="132" customFormat="false" ht="143.25" hidden="false" customHeight="true" outlineLevel="0" collapsed="false">
      <c r="A132" s="28" t="s">
        <v>3795</v>
      </c>
      <c r="B132" s="5" t="s">
        <v>3796</v>
      </c>
      <c r="C132" s="28" t="s">
        <v>3718</v>
      </c>
      <c r="D132" s="30" t="n">
        <f aca="false">IF(ISNUMBER(Cap_In!$C$256),IF(ABS(Cap_In!$C$256)&gt;0.000000001,1,0),0)</f>
        <v>0</v>
      </c>
      <c r="E132" s="42" t="s">
        <v>3797</v>
      </c>
    </row>
    <row r="134" customFormat="false" ht="15" hidden="false" customHeight="false" outlineLevel="0" collapsed="false">
      <c r="A134" s="73" t="s">
        <v>3798</v>
      </c>
      <c r="B134" s="67"/>
      <c r="C134" s="67"/>
      <c r="D134" s="67"/>
      <c r="E134" s="67"/>
      <c r="F134" s="67"/>
    </row>
    <row r="135" customFormat="false" ht="15" hidden="false" customHeight="false" outlineLevel="0" collapsed="false">
      <c r="A135" s="57" t="s">
        <v>3667</v>
      </c>
      <c r="B135" s="57" t="s">
        <v>3668</v>
      </c>
      <c r="C135" s="57" t="s">
        <v>3669</v>
      </c>
      <c r="D135" s="57" t="s">
        <v>3670</v>
      </c>
      <c r="E135" s="57" t="s">
        <v>3671</v>
      </c>
    </row>
    <row r="136" customFormat="false" ht="15" hidden="false" customHeight="false" outlineLevel="0" collapsed="false">
      <c r="A136" s="59" t="s">
        <v>3799</v>
      </c>
      <c r="B136" s="59" t="s">
        <v>3800</v>
      </c>
      <c r="C136" s="10" t="s">
        <v>3674</v>
      </c>
      <c r="D136" s="87" t="n">
        <f aca="false">SUM(Theory_Rev!C102:Q107)</f>
        <v>0</v>
      </c>
      <c r="E136" s="56" t="s">
        <v>3801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9" t="s">
        <v>3802</v>
      </c>
    </row>
    <row r="2" customFormat="false" ht="15" hidden="false" customHeight="true" outlineLevel="0" collapsed="false">
      <c r="A2" s="42" t="s">
        <v>3803</v>
      </c>
    </row>
    <row r="4" customFormat="false" ht="43.5" hidden="false" customHeight="true" outlineLevel="0" collapsed="false">
      <c r="A4" s="82" t="s">
        <v>3339</v>
      </c>
      <c r="B4" s="220" t="s">
        <v>3804</v>
      </c>
      <c r="C4" s="220" t="s">
        <v>12</v>
      </c>
      <c r="D4" s="220" t="s">
        <v>3340</v>
      </c>
      <c r="E4" s="220" t="s">
        <v>3341</v>
      </c>
      <c r="F4" s="220" t="s">
        <v>3342</v>
      </c>
      <c r="G4" s="220" t="s">
        <v>3805</v>
      </c>
      <c r="H4" s="82" t="s">
        <v>3806</v>
      </c>
      <c r="I4" s="220" t="s">
        <v>3807</v>
      </c>
      <c r="J4" s="220" t="s">
        <v>3808</v>
      </c>
      <c r="K4" s="220" t="s">
        <v>1137</v>
      </c>
      <c r="L4" s="220" t="s">
        <v>1138</v>
      </c>
      <c r="M4" s="220" t="s">
        <v>3809</v>
      </c>
      <c r="N4" s="220" t="s">
        <v>3810</v>
      </c>
      <c r="O4" s="220" t="s">
        <v>3811</v>
      </c>
      <c r="P4" s="82" t="s">
        <v>3343</v>
      </c>
      <c r="Q4" s="220" t="s">
        <v>3812</v>
      </c>
      <c r="R4" s="82" t="s">
        <v>3813</v>
      </c>
      <c r="S4" s="82" t="s">
        <v>3814</v>
      </c>
      <c r="T4" s="82" t="s">
        <v>3344</v>
      </c>
      <c r="U4" s="220" t="s">
        <v>3815</v>
      </c>
      <c r="V4" s="82" t="s">
        <v>3816</v>
      </c>
      <c r="W4" s="82" t="s">
        <v>3817</v>
      </c>
      <c r="X4" s="82" t="s">
        <v>3818</v>
      </c>
      <c r="Y4" s="82" t="s">
        <v>3819</v>
      </c>
      <c r="Z4" s="82" t="s">
        <v>3820</v>
      </c>
      <c r="AA4" s="82" t="s">
        <v>3821</v>
      </c>
      <c r="AB4" s="82" t="s">
        <v>3822</v>
      </c>
      <c r="AC4" s="82" t="s">
        <v>3823</v>
      </c>
      <c r="AD4" s="82" t="s">
        <v>3824</v>
      </c>
      <c r="AE4" s="82" t="s">
        <v>3825</v>
      </c>
      <c r="AF4" s="82" t="s">
        <v>3826</v>
      </c>
      <c r="AG4" s="82" t="s">
        <v>3827</v>
      </c>
      <c r="AH4" s="82" t="s">
        <v>3828</v>
      </c>
      <c r="AI4" s="82" t="s">
        <v>3829</v>
      </c>
      <c r="AJ4" s="82" t="s">
        <v>3830</v>
      </c>
      <c r="AK4" s="221" t="s">
        <v>3831</v>
      </c>
    </row>
    <row r="5" customFormat="false" ht="15" hidden="false" customHeight="true" outlineLevel="0" collapsed="false">
      <c r="A5" s="28" t="s">
        <v>3832</v>
      </c>
      <c r="B5" s="222" t="s">
        <v>3833</v>
      </c>
      <c r="C5" s="28" t="s">
        <v>3834</v>
      </c>
      <c r="D5" s="28" t="s">
        <v>3684</v>
      </c>
      <c r="E5" s="6" t="s">
        <v>84</v>
      </c>
      <c r="F5" s="28" t="s">
        <v>86</v>
      </c>
      <c r="G5" s="222" t="s">
        <v>3835</v>
      </c>
      <c r="H5" s="28" t="s">
        <v>608</v>
      </c>
      <c r="I5" s="6" t="s">
        <v>608</v>
      </c>
      <c r="J5" s="28" t="s">
        <v>3836</v>
      </c>
      <c r="K5" s="222"/>
      <c r="L5" s="222"/>
      <c r="M5" s="28" t="s">
        <v>608</v>
      </c>
      <c r="N5" s="6" t="s">
        <v>3837</v>
      </c>
      <c r="O5" s="6" t="s">
        <v>608</v>
      </c>
      <c r="P5" s="222" t="s">
        <v>3838</v>
      </c>
      <c r="Q5" s="46" t="n">
        <f aca="false">Inputs!E5</f>
        <v>1</v>
      </c>
      <c r="R5" s="28" t="s">
        <v>608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3839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1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3840</v>
      </c>
      <c r="B6" s="222" t="s">
        <v>3833</v>
      </c>
      <c r="C6" s="28" t="s">
        <v>3834</v>
      </c>
      <c r="D6" s="28" t="s">
        <v>3686</v>
      </c>
      <c r="E6" s="19" t="s">
        <v>88</v>
      </c>
      <c r="F6" s="28" t="s">
        <v>86</v>
      </c>
      <c r="G6" s="222" t="s">
        <v>3835</v>
      </c>
      <c r="H6" s="28" t="s">
        <v>608</v>
      </c>
      <c r="I6" s="6" t="s">
        <v>608</v>
      </c>
      <c r="J6" s="28" t="s">
        <v>3841</v>
      </c>
      <c r="K6" s="222"/>
      <c r="L6" s="222"/>
      <c r="M6" s="28" t="s">
        <v>608</v>
      </c>
      <c r="N6" s="6" t="s">
        <v>3842</v>
      </c>
      <c r="O6" s="6" t="s">
        <v>608</v>
      </c>
      <c r="P6" s="222" t="s">
        <v>3838</v>
      </c>
      <c r="Q6" s="46" t="n">
        <f aca="false">Inputs!E6</f>
        <v>2</v>
      </c>
      <c r="R6" s="28" t="s">
        <v>608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3839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1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3843</v>
      </c>
      <c r="B7" s="222" t="s">
        <v>3833</v>
      </c>
      <c r="C7" s="28" t="s">
        <v>3834</v>
      </c>
      <c r="D7" s="28" t="s">
        <v>3692</v>
      </c>
      <c r="E7" s="19" t="s">
        <v>92</v>
      </c>
      <c r="F7" s="28" t="s">
        <v>94</v>
      </c>
      <c r="G7" s="222" t="s">
        <v>79</v>
      </c>
      <c r="H7" s="28" t="s">
        <v>608</v>
      </c>
      <c r="I7" s="6" t="s">
        <v>608</v>
      </c>
      <c r="J7" s="28" t="s">
        <v>608</v>
      </c>
      <c r="K7" s="187" t="n">
        <f aca="false">Sensitivity!$X$8</f>
        <v>0.05</v>
      </c>
      <c r="L7" s="187" t="n">
        <f aca="false">Sensitivity!$Y$8</f>
        <v>0.12</v>
      </c>
      <c r="M7" s="28" t="s">
        <v>3844</v>
      </c>
      <c r="N7" s="223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608</v>
      </c>
      <c r="P7" s="222" t="s">
        <v>1137</v>
      </c>
      <c r="Q7" s="187" t="n">
        <f aca="false">Inputs!E8</f>
        <v>0.08</v>
      </c>
      <c r="R7" s="28" t="s">
        <v>608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3839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1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3845</v>
      </c>
      <c r="B8" s="222" t="s">
        <v>3833</v>
      </c>
      <c r="C8" s="28" t="s">
        <v>3834</v>
      </c>
      <c r="D8" s="28" t="s">
        <v>3695</v>
      </c>
      <c r="E8" s="6" t="s">
        <v>96</v>
      </c>
      <c r="F8" s="28" t="s">
        <v>94</v>
      </c>
      <c r="G8" s="222" t="s">
        <v>79</v>
      </c>
      <c r="H8" s="28" t="s">
        <v>608</v>
      </c>
      <c r="I8" s="6" t="s">
        <v>608</v>
      </c>
      <c r="J8" s="28" t="s">
        <v>608</v>
      </c>
      <c r="K8" s="183" t="n">
        <f aca="false">Inputs!$D$9</f>
        <v>1.1</v>
      </c>
      <c r="L8" s="183" t="n">
        <f aca="false">Inputs!$F$9</f>
        <v>1.3</v>
      </c>
      <c r="M8" s="28" t="s">
        <v>608</v>
      </c>
      <c r="N8" s="223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3846</v>
      </c>
      <c r="P8" s="222" t="s">
        <v>1137</v>
      </c>
      <c r="Q8" s="183" t="n">
        <f aca="false">Inputs!E9</f>
        <v>1.2</v>
      </c>
      <c r="R8" s="28" t="s">
        <v>608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3839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1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3847</v>
      </c>
      <c r="B9" s="222" t="s">
        <v>3833</v>
      </c>
      <c r="C9" s="28" t="s">
        <v>3834</v>
      </c>
      <c r="D9" s="28" t="s">
        <v>3848</v>
      </c>
      <c r="E9" s="6" t="s">
        <v>96</v>
      </c>
      <c r="F9" s="28" t="s">
        <v>94</v>
      </c>
      <c r="G9" s="222" t="s">
        <v>1137</v>
      </c>
      <c r="H9" s="28" t="s">
        <v>608</v>
      </c>
      <c r="I9" s="6" t="s">
        <v>608</v>
      </c>
      <c r="J9" s="28" t="s">
        <v>608</v>
      </c>
      <c r="K9" s="222"/>
      <c r="L9" s="222"/>
      <c r="M9" s="28" t="s">
        <v>608</v>
      </c>
      <c r="N9" s="223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3846</v>
      </c>
      <c r="P9" s="222" t="s">
        <v>1137</v>
      </c>
      <c r="Q9" s="183" t="n">
        <f aca="false">Inputs!D9</f>
        <v>1.1</v>
      </c>
      <c r="R9" s="28" t="s">
        <v>608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3839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1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3849</v>
      </c>
      <c r="B10" s="222" t="s">
        <v>3833</v>
      </c>
      <c r="C10" s="28" t="s">
        <v>3834</v>
      </c>
      <c r="D10" s="28" t="s">
        <v>3850</v>
      </c>
      <c r="E10" s="6" t="s">
        <v>96</v>
      </c>
      <c r="F10" s="28" t="s">
        <v>94</v>
      </c>
      <c r="G10" s="222" t="s">
        <v>1138</v>
      </c>
      <c r="H10" s="28" t="s">
        <v>608</v>
      </c>
      <c r="I10" s="6" t="s">
        <v>608</v>
      </c>
      <c r="J10" s="28" t="s">
        <v>608</v>
      </c>
      <c r="K10" s="222"/>
      <c r="L10" s="222"/>
      <c r="M10" s="28" t="s">
        <v>608</v>
      </c>
      <c r="N10" s="223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3846</v>
      </c>
      <c r="P10" s="222" t="s">
        <v>1137</v>
      </c>
      <c r="Q10" s="183" t="n">
        <f aca="false">Inputs!F9</f>
        <v>1.3</v>
      </c>
      <c r="R10" s="28" t="s">
        <v>608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3839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1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3851</v>
      </c>
      <c r="B11" s="222" t="s">
        <v>3833</v>
      </c>
      <c r="C11" s="28" t="s">
        <v>3834</v>
      </c>
      <c r="D11" s="28" t="s">
        <v>3698</v>
      </c>
      <c r="E11" s="19" t="s">
        <v>100</v>
      </c>
      <c r="F11" s="28" t="s">
        <v>94</v>
      </c>
      <c r="G11" s="222" t="s">
        <v>79</v>
      </c>
      <c r="H11" s="28" t="s">
        <v>608</v>
      </c>
      <c r="I11" s="6" t="s">
        <v>608</v>
      </c>
      <c r="J11" s="28" t="s">
        <v>608</v>
      </c>
      <c r="K11" s="187" t="n">
        <f aca="false">Inputs!$D$10</f>
        <v>0.7</v>
      </c>
      <c r="L11" s="187" t="n">
        <f aca="false">Inputs!$F$10</f>
        <v>0.9</v>
      </c>
      <c r="M11" s="28" t="s">
        <v>608</v>
      </c>
      <c r="N11" s="223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608</v>
      </c>
      <c r="P11" s="222" t="s">
        <v>1137</v>
      </c>
      <c r="Q11" s="187" t="n">
        <f aca="false">Inputs!E10</f>
        <v>0.8</v>
      </c>
      <c r="R11" s="28" t="s">
        <v>608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3839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1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3852</v>
      </c>
      <c r="B12" s="222" t="s">
        <v>3833</v>
      </c>
      <c r="C12" s="28" t="s">
        <v>3834</v>
      </c>
      <c r="D12" s="28" t="s">
        <v>3853</v>
      </c>
      <c r="E12" s="19" t="s">
        <v>100</v>
      </c>
      <c r="F12" s="28" t="s">
        <v>94</v>
      </c>
      <c r="G12" s="222" t="s">
        <v>1137</v>
      </c>
      <c r="H12" s="28" t="s">
        <v>608</v>
      </c>
      <c r="I12" s="6" t="s">
        <v>608</v>
      </c>
      <c r="J12" s="28" t="s">
        <v>608</v>
      </c>
      <c r="K12" s="222"/>
      <c r="L12" s="222"/>
      <c r="M12" s="28" t="s">
        <v>608</v>
      </c>
      <c r="N12" s="223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608</v>
      </c>
      <c r="P12" s="222" t="s">
        <v>1137</v>
      </c>
      <c r="Q12" s="187" t="n">
        <f aca="false">Inputs!D10</f>
        <v>0.7</v>
      </c>
      <c r="R12" s="28" t="s">
        <v>608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3839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1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3854</v>
      </c>
      <c r="B13" s="222" t="s">
        <v>3833</v>
      </c>
      <c r="C13" s="28" t="s">
        <v>3834</v>
      </c>
      <c r="D13" s="28" t="s">
        <v>3855</v>
      </c>
      <c r="E13" s="19" t="s">
        <v>100</v>
      </c>
      <c r="F13" s="28" t="s">
        <v>94</v>
      </c>
      <c r="G13" s="222" t="s">
        <v>1138</v>
      </c>
      <c r="H13" s="28" t="s">
        <v>608</v>
      </c>
      <c r="I13" s="6" t="s">
        <v>608</v>
      </c>
      <c r="J13" s="28" t="s">
        <v>608</v>
      </c>
      <c r="K13" s="222"/>
      <c r="L13" s="222"/>
      <c r="M13" s="28" t="s">
        <v>608</v>
      </c>
      <c r="N13" s="223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608</v>
      </c>
      <c r="P13" s="222" t="s">
        <v>1137</v>
      </c>
      <c r="Q13" s="187" t="n">
        <f aca="false">Inputs!F10</f>
        <v>0.9</v>
      </c>
      <c r="R13" s="28" t="s">
        <v>608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3839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1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3856</v>
      </c>
      <c r="B14" s="222" t="s">
        <v>3833</v>
      </c>
      <c r="C14" s="28" t="s">
        <v>3834</v>
      </c>
      <c r="D14" s="28" t="s">
        <v>3701</v>
      </c>
      <c r="E14" s="19" t="s">
        <v>102</v>
      </c>
      <c r="F14" s="28" t="s">
        <v>98</v>
      </c>
      <c r="G14" s="222" t="s">
        <v>79</v>
      </c>
      <c r="H14" s="28" t="s">
        <v>3857</v>
      </c>
      <c r="I14" s="19" t="s">
        <v>3858</v>
      </c>
      <c r="J14" s="28" t="s">
        <v>608</v>
      </c>
      <c r="K14" s="183" t="n">
        <f aca="false">Inputs!$D$11</f>
        <v>0.06</v>
      </c>
      <c r="L14" s="183" t="n">
        <f aca="false">Inputs!$F$11</f>
        <v>0.1</v>
      </c>
      <c r="M14" s="28" t="s">
        <v>608</v>
      </c>
      <c r="N14" s="22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608</v>
      </c>
      <c r="P14" s="222" t="s">
        <v>1137</v>
      </c>
      <c r="Q14" s="183" t="n">
        <f aca="false">Inputs!E11</f>
        <v>0.08</v>
      </c>
      <c r="R14" s="175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3839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1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3859</v>
      </c>
      <c r="B15" s="222" t="s">
        <v>3833</v>
      </c>
      <c r="C15" s="28" t="s">
        <v>3834</v>
      </c>
      <c r="D15" s="28" t="s">
        <v>3860</v>
      </c>
      <c r="E15" s="19" t="s">
        <v>102</v>
      </c>
      <c r="F15" s="28" t="s">
        <v>98</v>
      </c>
      <c r="G15" s="222" t="s">
        <v>1137</v>
      </c>
      <c r="H15" s="28" t="s">
        <v>3857</v>
      </c>
      <c r="I15" s="19" t="s">
        <v>3858</v>
      </c>
      <c r="J15" s="28" t="s">
        <v>608</v>
      </c>
      <c r="K15" s="222"/>
      <c r="L15" s="222"/>
      <c r="M15" s="28" t="s">
        <v>608</v>
      </c>
      <c r="N15" s="22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608</v>
      </c>
      <c r="P15" s="222" t="s">
        <v>1137</v>
      </c>
      <c r="Q15" s="183" t="n">
        <f aca="false">Inputs!D11</f>
        <v>0.06</v>
      </c>
      <c r="R15" s="175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3839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1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3861</v>
      </c>
      <c r="B16" s="222" t="s">
        <v>3833</v>
      </c>
      <c r="C16" s="28" t="s">
        <v>3834</v>
      </c>
      <c r="D16" s="28" t="s">
        <v>3862</v>
      </c>
      <c r="E16" s="19" t="s">
        <v>102</v>
      </c>
      <c r="F16" s="28" t="s">
        <v>98</v>
      </c>
      <c r="G16" s="222" t="s">
        <v>1138</v>
      </c>
      <c r="H16" s="28" t="s">
        <v>3857</v>
      </c>
      <c r="I16" s="19" t="s">
        <v>3858</v>
      </c>
      <c r="J16" s="28" t="s">
        <v>608</v>
      </c>
      <c r="K16" s="222"/>
      <c r="L16" s="222"/>
      <c r="M16" s="28" t="s">
        <v>608</v>
      </c>
      <c r="N16" s="22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608</v>
      </c>
      <c r="P16" s="222" t="s">
        <v>1137</v>
      </c>
      <c r="Q16" s="183" t="n">
        <f aca="false">Inputs!F11</f>
        <v>0.1</v>
      </c>
      <c r="R16" s="175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3839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1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3863</v>
      </c>
      <c r="B17" s="222" t="s">
        <v>3833</v>
      </c>
      <c r="C17" s="28" t="s">
        <v>3834</v>
      </c>
      <c r="D17" s="28" t="s">
        <v>3706</v>
      </c>
      <c r="E17" s="6" t="s">
        <v>107</v>
      </c>
      <c r="F17" s="28" t="s">
        <v>98</v>
      </c>
      <c r="G17" s="222" t="s">
        <v>79</v>
      </c>
      <c r="H17" s="28" t="s">
        <v>3864</v>
      </c>
      <c r="I17" s="19" t="s">
        <v>3858</v>
      </c>
      <c r="J17" s="28" t="s">
        <v>608</v>
      </c>
      <c r="K17" s="187" t="n">
        <f aca="false">Inputs!$D$13</f>
        <v>0.05</v>
      </c>
      <c r="L17" s="187" t="n">
        <f aca="false">Inputs!$F$13</f>
        <v>0.15</v>
      </c>
      <c r="M17" s="28" t="s">
        <v>608</v>
      </c>
      <c r="N17" s="223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608</v>
      </c>
      <c r="P17" s="222" t="s">
        <v>1137</v>
      </c>
      <c r="Q17" s="187" t="n">
        <f aca="false">Inputs!E13</f>
        <v>0.1</v>
      </c>
      <c r="R17" s="175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3839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1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3865</v>
      </c>
      <c r="B18" s="222" t="s">
        <v>3833</v>
      </c>
      <c r="C18" s="28" t="s">
        <v>3834</v>
      </c>
      <c r="D18" s="28" t="s">
        <v>3866</v>
      </c>
      <c r="E18" s="6" t="s">
        <v>107</v>
      </c>
      <c r="F18" s="28" t="s">
        <v>98</v>
      </c>
      <c r="G18" s="222" t="s">
        <v>1137</v>
      </c>
      <c r="H18" s="28" t="s">
        <v>3864</v>
      </c>
      <c r="I18" s="19" t="s">
        <v>3858</v>
      </c>
      <c r="J18" s="28" t="s">
        <v>608</v>
      </c>
      <c r="K18" s="222"/>
      <c r="L18" s="222"/>
      <c r="M18" s="28" t="s">
        <v>608</v>
      </c>
      <c r="N18" s="223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608</v>
      </c>
      <c r="P18" s="222" t="s">
        <v>1137</v>
      </c>
      <c r="Q18" s="187" t="n">
        <f aca="false">Inputs!D13</f>
        <v>0.05</v>
      </c>
      <c r="R18" s="175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3839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1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3867</v>
      </c>
      <c r="B19" s="222" t="s">
        <v>3833</v>
      </c>
      <c r="C19" s="28" t="s">
        <v>3834</v>
      </c>
      <c r="D19" s="28" t="s">
        <v>3868</v>
      </c>
      <c r="E19" s="6" t="s">
        <v>107</v>
      </c>
      <c r="F19" s="222" t="s">
        <v>319</v>
      </c>
      <c r="G19" s="222" t="s">
        <v>3835</v>
      </c>
      <c r="H19" s="28" t="s">
        <v>3869</v>
      </c>
      <c r="I19" s="19" t="s">
        <v>3870</v>
      </c>
      <c r="J19" s="28" t="s">
        <v>608</v>
      </c>
      <c r="K19" s="222"/>
      <c r="L19" s="222"/>
      <c r="M19" s="28" t="s">
        <v>608</v>
      </c>
      <c r="N19" s="19" t="s">
        <v>3871</v>
      </c>
      <c r="O19" s="6" t="s">
        <v>608</v>
      </c>
      <c r="P19" s="222" t="s">
        <v>1137</v>
      </c>
      <c r="Q19" s="187" t="n">
        <f aca="false">Inputs!F13</f>
        <v>0.15</v>
      </c>
      <c r="R19" s="175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3872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1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3873</v>
      </c>
      <c r="B20" s="222" t="s">
        <v>3833</v>
      </c>
      <c r="C20" s="28" t="s">
        <v>3834</v>
      </c>
      <c r="D20" s="28" t="s">
        <v>3874</v>
      </c>
      <c r="E20" s="19" t="s">
        <v>109</v>
      </c>
      <c r="F20" s="28" t="s">
        <v>94</v>
      </c>
      <c r="G20" s="222" t="s">
        <v>79</v>
      </c>
      <c r="H20" s="28" t="s">
        <v>608</v>
      </c>
      <c r="I20" s="6" t="s">
        <v>608</v>
      </c>
      <c r="J20" s="28" t="s">
        <v>608</v>
      </c>
      <c r="K20" s="46" t="n">
        <f aca="false">Inputs!$D$14</f>
        <v>300</v>
      </c>
      <c r="L20" s="46" t="n">
        <f aca="false">Inputs!$F$14</f>
        <v>800</v>
      </c>
      <c r="M20" s="28" t="s">
        <v>608</v>
      </c>
      <c r="N20" s="223" t="str">
        <f aca="false">Inputs!$H$14</f>
        <v>v4 約 $350/GPU（$25K/架）</v>
      </c>
      <c r="O20" s="6" t="s">
        <v>608</v>
      </c>
      <c r="P20" s="222" t="s">
        <v>1137</v>
      </c>
      <c r="Q20" s="46" t="n">
        <f aca="false">Inputs!E14</f>
        <v>500</v>
      </c>
      <c r="R20" s="28" t="s">
        <v>608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3839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1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3875</v>
      </c>
      <c r="B21" s="222" t="s">
        <v>3833</v>
      </c>
      <c r="C21" s="28" t="s">
        <v>3834</v>
      </c>
      <c r="D21" s="28" t="s">
        <v>3876</v>
      </c>
      <c r="E21" s="19" t="s">
        <v>109</v>
      </c>
      <c r="F21" s="28" t="s">
        <v>94</v>
      </c>
      <c r="G21" s="222" t="s">
        <v>1137</v>
      </c>
      <c r="H21" s="28" t="s">
        <v>608</v>
      </c>
      <c r="I21" s="6" t="s">
        <v>608</v>
      </c>
      <c r="J21" s="28" t="s">
        <v>608</v>
      </c>
      <c r="K21" s="222"/>
      <c r="L21" s="222"/>
      <c r="M21" s="28" t="s">
        <v>608</v>
      </c>
      <c r="N21" s="223" t="str">
        <f aca="false">Inputs!$H$14</f>
        <v>v4 約 $350/GPU（$25K/架）</v>
      </c>
      <c r="O21" s="6" t="s">
        <v>608</v>
      </c>
      <c r="P21" s="222" t="s">
        <v>1137</v>
      </c>
      <c r="Q21" s="46" t="n">
        <f aca="false">Inputs!D14</f>
        <v>300</v>
      </c>
      <c r="R21" s="28" t="s">
        <v>608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3839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1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3877</v>
      </c>
      <c r="B22" s="222" t="s">
        <v>3833</v>
      </c>
      <c r="C22" s="28" t="s">
        <v>3834</v>
      </c>
      <c r="D22" s="28" t="s">
        <v>3878</v>
      </c>
      <c r="E22" s="19" t="s">
        <v>109</v>
      </c>
      <c r="F22" s="28" t="s">
        <v>94</v>
      </c>
      <c r="G22" s="222" t="s">
        <v>1138</v>
      </c>
      <c r="H22" s="28" t="s">
        <v>608</v>
      </c>
      <c r="I22" s="6" t="s">
        <v>608</v>
      </c>
      <c r="J22" s="28" t="s">
        <v>608</v>
      </c>
      <c r="K22" s="222"/>
      <c r="L22" s="222"/>
      <c r="M22" s="28" t="s">
        <v>608</v>
      </c>
      <c r="N22" s="223" t="str">
        <f aca="false">Inputs!$H$14</f>
        <v>v4 約 $350/GPU（$25K/架）</v>
      </c>
      <c r="O22" s="6" t="s">
        <v>608</v>
      </c>
      <c r="P22" s="222" t="s">
        <v>1137</v>
      </c>
      <c r="Q22" s="46" t="n">
        <f aca="false">Inputs!F14</f>
        <v>800</v>
      </c>
      <c r="R22" s="28" t="s">
        <v>608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3839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1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3879</v>
      </c>
      <c r="B23" s="222" t="s">
        <v>3833</v>
      </c>
      <c r="C23" s="28" t="s">
        <v>3834</v>
      </c>
      <c r="D23" s="28" t="s">
        <v>3880</v>
      </c>
      <c r="E23" s="19" t="s">
        <v>113</v>
      </c>
      <c r="F23" s="28" t="s">
        <v>94</v>
      </c>
      <c r="G23" s="222" t="s">
        <v>79</v>
      </c>
      <c r="H23" s="28" t="s">
        <v>608</v>
      </c>
      <c r="I23" s="6" t="s">
        <v>608</v>
      </c>
      <c r="J23" s="28" t="s">
        <v>608</v>
      </c>
      <c r="K23" s="183" t="n">
        <f aca="false">Inputs!$D$16</f>
        <v>0.02</v>
      </c>
      <c r="L23" s="183" t="n">
        <f aca="false">Inputs!$F$16</f>
        <v>0.02</v>
      </c>
      <c r="M23" s="28" t="s">
        <v>608</v>
      </c>
      <c r="N23" s="223" t="str">
        <f aca="false">Inputs!$H$16</f>
        <v>v4：100 英畝 × $200K／GW</v>
      </c>
      <c r="O23" s="6" t="s">
        <v>608</v>
      </c>
      <c r="P23" s="222" t="s">
        <v>1137</v>
      </c>
      <c r="Q23" s="183" t="n">
        <f aca="false">Inputs!E16</f>
        <v>0.02</v>
      </c>
      <c r="R23" s="28" t="s">
        <v>608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3839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1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3881</v>
      </c>
      <c r="B24" s="222" t="s">
        <v>3833</v>
      </c>
      <c r="C24" s="28" t="s">
        <v>3834</v>
      </c>
      <c r="D24" s="28" t="s">
        <v>3882</v>
      </c>
      <c r="E24" s="19" t="s">
        <v>113</v>
      </c>
      <c r="F24" s="28" t="s">
        <v>94</v>
      </c>
      <c r="G24" s="222" t="s">
        <v>1137</v>
      </c>
      <c r="H24" s="28" t="s">
        <v>608</v>
      </c>
      <c r="I24" s="6" t="s">
        <v>608</v>
      </c>
      <c r="J24" s="28" t="s">
        <v>608</v>
      </c>
      <c r="K24" s="222"/>
      <c r="L24" s="222"/>
      <c r="M24" s="28" t="s">
        <v>608</v>
      </c>
      <c r="N24" s="223" t="str">
        <f aca="false">Inputs!$H$16</f>
        <v>v4：100 英畝 × $200K／GW</v>
      </c>
      <c r="O24" s="6" t="s">
        <v>608</v>
      </c>
      <c r="P24" s="222" t="s">
        <v>1137</v>
      </c>
      <c r="Q24" s="183" t="n">
        <f aca="false">Inputs!D16</f>
        <v>0.02</v>
      </c>
      <c r="R24" s="28" t="s">
        <v>608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3839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1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3883</v>
      </c>
      <c r="B25" s="222" t="s">
        <v>3833</v>
      </c>
      <c r="C25" s="28" t="s">
        <v>3834</v>
      </c>
      <c r="D25" s="28" t="s">
        <v>3884</v>
      </c>
      <c r="E25" s="19" t="s">
        <v>113</v>
      </c>
      <c r="F25" s="28" t="s">
        <v>94</v>
      </c>
      <c r="G25" s="222" t="s">
        <v>1138</v>
      </c>
      <c r="H25" s="28" t="s">
        <v>608</v>
      </c>
      <c r="I25" s="6" t="s">
        <v>608</v>
      </c>
      <c r="J25" s="28" t="s">
        <v>608</v>
      </c>
      <c r="K25" s="222"/>
      <c r="L25" s="222"/>
      <c r="M25" s="28" t="s">
        <v>608</v>
      </c>
      <c r="N25" s="223" t="str">
        <f aca="false">Inputs!$H$16</f>
        <v>v4：100 英畝 × $200K／GW</v>
      </c>
      <c r="O25" s="6" t="s">
        <v>608</v>
      </c>
      <c r="P25" s="222" t="s">
        <v>1137</v>
      </c>
      <c r="Q25" s="183" t="n">
        <f aca="false">Inputs!F16</f>
        <v>0.02</v>
      </c>
      <c r="R25" s="28" t="s">
        <v>608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3839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1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3885</v>
      </c>
      <c r="B26" s="222" t="s">
        <v>3833</v>
      </c>
      <c r="C26" s="28" t="s">
        <v>3834</v>
      </c>
      <c r="D26" s="28" t="s">
        <v>3886</v>
      </c>
      <c r="E26" s="19" t="s">
        <v>116</v>
      </c>
      <c r="F26" s="28" t="s">
        <v>94</v>
      </c>
      <c r="G26" s="222" t="s">
        <v>79</v>
      </c>
      <c r="H26" s="28" t="s">
        <v>608</v>
      </c>
      <c r="I26" s="6" t="s">
        <v>608</v>
      </c>
      <c r="J26" s="28" t="s">
        <v>608</v>
      </c>
      <c r="K26" s="183" t="n">
        <f aca="false">Inputs!$D$17</f>
        <v>3</v>
      </c>
      <c r="L26" s="183" t="n">
        <f aca="false">Inputs!$F$17</f>
        <v>4.5</v>
      </c>
      <c r="M26" s="28" t="s">
        <v>608</v>
      </c>
      <c r="N26" s="223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608</v>
      </c>
      <c r="P26" s="222" t="s">
        <v>1137</v>
      </c>
      <c r="Q26" s="183" t="n">
        <f aca="false">Inputs!E17</f>
        <v>3.6</v>
      </c>
      <c r="R26" s="28" t="s">
        <v>608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3839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1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3887</v>
      </c>
      <c r="B27" s="222" t="s">
        <v>3833</v>
      </c>
      <c r="C27" s="28" t="s">
        <v>3834</v>
      </c>
      <c r="D27" s="28" t="s">
        <v>3888</v>
      </c>
      <c r="E27" s="19" t="s">
        <v>116</v>
      </c>
      <c r="F27" s="28" t="s">
        <v>94</v>
      </c>
      <c r="G27" s="222" t="s">
        <v>1137</v>
      </c>
      <c r="H27" s="28" t="s">
        <v>608</v>
      </c>
      <c r="I27" s="6" t="s">
        <v>608</v>
      </c>
      <c r="J27" s="28" t="s">
        <v>608</v>
      </c>
      <c r="K27" s="222"/>
      <c r="L27" s="222"/>
      <c r="M27" s="28" t="s">
        <v>608</v>
      </c>
      <c r="N27" s="223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608</v>
      </c>
      <c r="P27" s="222" t="s">
        <v>1137</v>
      </c>
      <c r="Q27" s="183" t="n">
        <f aca="false">Inputs!D17</f>
        <v>3</v>
      </c>
      <c r="R27" s="28" t="s">
        <v>608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3839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1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3889</v>
      </c>
      <c r="B28" s="222" t="s">
        <v>3833</v>
      </c>
      <c r="C28" s="28" t="s">
        <v>3834</v>
      </c>
      <c r="D28" s="28" t="s">
        <v>3890</v>
      </c>
      <c r="E28" s="19" t="s">
        <v>116</v>
      </c>
      <c r="F28" s="28" t="s">
        <v>94</v>
      </c>
      <c r="G28" s="222" t="s">
        <v>1138</v>
      </c>
      <c r="H28" s="28" t="s">
        <v>608</v>
      </c>
      <c r="I28" s="6" t="s">
        <v>608</v>
      </c>
      <c r="J28" s="28" t="s">
        <v>608</v>
      </c>
      <c r="K28" s="222"/>
      <c r="L28" s="222"/>
      <c r="M28" s="28" t="s">
        <v>608</v>
      </c>
      <c r="N28" s="223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608</v>
      </c>
      <c r="P28" s="222" t="s">
        <v>1137</v>
      </c>
      <c r="Q28" s="183" t="n">
        <f aca="false">Inputs!F17</f>
        <v>4.5</v>
      </c>
      <c r="R28" s="28" t="s">
        <v>608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3839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1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3891</v>
      </c>
      <c r="B29" s="222" t="s">
        <v>3833</v>
      </c>
      <c r="C29" s="28" t="s">
        <v>3834</v>
      </c>
      <c r="D29" s="28" t="s">
        <v>3892</v>
      </c>
      <c r="E29" s="19" t="s">
        <v>118</v>
      </c>
      <c r="F29" s="28" t="s">
        <v>94</v>
      </c>
      <c r="G29" s="222" t="s">
        <v>79</v>
      </c>
      <c r="H29" s="28" t="s">
        <v>608</v>
      </c>
      <c r="I29" s="6" t="s">
        <v>608</v>
      </c>
      <c r="J29" s="28" t="s">
        <v>608</v>
      </c>
      <c r="K29" s="183" t="n">
        <f aca="false">Inputs!$D$18</f>
        <v>3.8</v>
      </c>
      <c r="L29" s="183" t="n">
        <f aca="false">Inputs!$F$18</f>
        <v>5.5</v>
      </c>
      <c r="M29" s="28" t="s">
        <v>608</v>
      </c>
      <c r="N29" s="19" t="s">
        <v>3893</v>
      </c>
      <c r="O29" s="6" t="s">
        <v>608</v>
      </c>
      <c r="P29" s="222" t="s">
        <v>3894</v>
      </c>
      <c r="Q29" s="183" t="n">
        <f aca="false">Inputs!E18</f>
        <v>4.5</v>
      </c>
      <c r="R29" s="28" t="s">
        <v>608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3839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1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3895</v>
      </c>
      <c r="B30" s="222" t="s">
        <v>3833</v>
      </c>
      <c r="C30" s="28" t="s">
        <v>3834</v>
      </c>
      <c r="D30" s="28" t="s">
        <v>3896</v>
      </c>
      <c r="E30" s="19" t="s">
        <v>118</v>
      </c>
      <c r="F30" s="28" t="s">
        <v>94</v>
      </c>
      <c r="G30" s="222" t="s">
        <v>1137</v>
      </c>
      <c r="H30" s="28" t="s">
        <v>608</v>
      </c>
      <c r="I30" s="6" t="s">
        <v>608</v>
      </c>
      <c r="J30" s="28" t="s">
        <v>608</v>
      </c>
      <c r="K30" s="222"/>
      <c r="L30" s="222"/>
      <c r="M30" s="28" t="s">
        <v>608</v>
      </c>
      <c r="N30" s="19" t="s">
        <v>3893</v>
      </c>
      <c r="O30" s="6" t="s">
        <v>608</v>
      </c>
      <c r="P30" s="222" t="s">
        <v>3894</v>
      </c>
      <c r="Q30" s="183" t="n">
        <f aca="false">Inputs!D18</f>
        <v>3.8</v>
      </c>
      <c r="R30" s="28" t="s">
        <v>608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3839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1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3897</v>
      </c>
      <c r="B31" s="222" t="s">
        <v>3833</v>
      </c>
      <c r="C31" s="28" t="s">
        <v>3834</v>
      </c>
      <c r="D31" s="28" t="s">
        <v>3898</v>
      </c>
      <c r="E31" s="19" t="s">
        <v>118</v>
      </c>
      <c r="F31" s="28" t="s">
        <v>94</v>
      </c>
      <c r="G31" s="222" t="s">
        <v>1138</v>
      </c>
      <c r="H31" s="28" t="s">
        <v>608</v>
      </c>
      <c r="I31" s="6" t="s">
        <v>608</v>
      </c>
      <c r="J31" s="28" t="s">
        <v>608</v>
      </c>
      <c r="K31" s="222"/>
      <c r="L31" s="222"/>
      <c r="M31" s="28" t="s">
        <v>608</v>
      </c>
      <c r="N31" s="19" t="s">
        <v>3893</v>
      </c>
      <c r="O31" s="6" t="s">
        <v>608</v>
      </c>
      <c r="P31" s="222" t="s">
        <v>3894</v>
      </c>
      <c r="Q31" s="183" t="n">
        <f aca="false">Inputs!F18</f>
        <v>5.5</v>
      </c>
      <c r="R31" s="28" t="s">
        <v>608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3839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1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3899</v>
      </c>
      <c r="B32" s="222" t="s">
        <v>3833</v>
      </c>
      <c r="C32" s="28" t="s">
        <v>3834</v>
      </c>
      <c r="D32" s="28" t="s">
        <v>3900</v>
      </c>
      <c r="E32" s="19" t="s">
        <v>120</v>
      </c>
      <c r="F32" s="28" t="s">
        <v>94</v>
      </c>
      <c r="G32" s="222" t="s">
        <v>79</v>
      </c>
      <c r="H32" s="28" t="s">
        <v>608</v>
      </c>
      <c r="I32" s="6" t="s">
        <v>608</v>
      </c>
      <c r="J32" s="28" t="s">
        <v>608</v>
      </c>
      <c r="K32" s="183" t="n">
        <f aca="false">Inputs!$D$19</f>
        <v>2</v>
      </c>
      <c r="L32" s="183" t="n">
        <f aca="false">Inputs!$F$19</f>
        <v>3.2</v>
      </c>
      <c r="M32" s="28" t="s">
        <v>608</v>
      </c>
      <c r="N32" s="223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608</v>
      </c>
      <c r="P32" s="222" t="s">
        <v>1137</v>
      </c>
      <c r="Q32" s="183" t="n">
        <f aca="false">Inputs!E19</f>
        <v>2.5</v>
      </c>
      <c r="R32" s="28" t="s">
        <v>608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3839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1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3901</v>
      </c>
      <c r="B33" s="222" t="s">
        <v>3833</v>
      </c>
      <c r="C33" s="28" t="s">
        <v>3834</v>
      </c>
      <c r="D33" s="28" t="s">
        <v>3902</v>
      </c>
      <c r="E33" s="19" t="s">
        <v>120</v>
      </c>
      <c r="F33" s="28" t="s">
        <v>94</v>
      </c>
      <c r="G33" s="222" t="s">
        <v>1137</v>
      </c>
      <c r="H33" s="28" t="s">
        <v>608</v>
      </c>
      <c r="I33" s="6" t="s">
        <v>608</v>
      </c>
      <c r="J33" s="28" t="s">
        <v>608</v>
      </c>
      <c r="K33" s="222"/>
      <c r="L33" s="222"/>
      <c r="M33" s="28" t="s">
        <v>608</v>
      </c>
      <c r="N33" s="223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608</v>
      </c>
      <c r="P33" s="222" t="s">
        <v>1137</v>
      </c>
      <c r="Q33" s="183" t="n">
        <f aca="false">Inputs!D19</f>
        <v>2</v>
      </c>
      <c r="R33" s="28" t="s">
        <v>608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3839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1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3903</v>
      </c>
      <c r="B34" s="222" t="s">
        <v>3833</v>
      </c>
      <c r="C34" s="28" t="s">
        <v>3834</v>
      </c>
      <c r="D34" s="28" t="s">
        <v>3904</v>
      </c>
      <c r="E34" s="19" t="s">
        <v>120</v>
      </c>
      <c r="F34" s="28" t="s">
        <v>94</v>
      </c>
      <c r="G34" s="222" t="s">
        <v>1138</v>
      </c>
      <c r="H34" s="28" t="s">
        <v>608</v>
      </c>
      <c r="I34" s="6" t="s">
        <v>608</v>
      </c>
      <c r="J34" s="28" t="s">
        <v>608</v>
      </c>
      <c r="K34" s="222"/>
      <c r="L34" s="222"/>
      <c r="M34" s="28" t="s">
        <v>608</v>
      </c>
      <c r="N34" s="223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608</v>
      </c>
      <c r="P34" s="222" t="s">
        <v>1137</v>
      </c>
      <c r="Q34" s="183" t="n">
        <f aca="false">Inputs!F19</f>
        <v>3.2</v>
      </c>
      <c r="R34" s="28" t="s">
        <v>608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3839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1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3905</v>
      </c>
      <c r="B35" s="222" t="s">
        <v>3833</v>
      </c>
      <c r="C35" s="28" t="s">
        <v>3834</v>
      </c>
      <c r="D35" s="28" t="s">
        <v>3906</v>
      </c>
      <c r="E35" s="19" t="s">
        <v>122</v>
      </c>
      <c r="F35" s="28" t="s">
        <v>94</v>
      </c>
      <c r="G35" s="222" t="s">
        <v>79</v>
      </c>
      <c r="H35" s="28" t="s">
        <v>608</v>
      </c>
      <c r="I35" s="6" t="s">
        <v>608</v>
      </c>
      <c r="J35" s="28" t="s">
        <v>608</v>
      </c>
      <c r="K35" s="183" t="n">
        <f aca="false">Inputs!$D$20</f>
        <v>0.3</v>
      </c>
      <c r="L35" s="183" t="n">
        <f aca="false">Inputs!$F$20</f>
        <v>0.5</v>
      </c>
      <c r="M35" s="28" t="s">
        <v>608</v>
      </c>
      <c r="N35" s="19" t="s">
        <v>3907</v>
      </c>
      <c r="O35" s="6" t="s">
        <v>608</v>
      </c>
      <c r="P35" s="222" t="s">
        <v>1137</v>
      </c>
      <c r="Q35" s="183" t="n">
        <f aca="false">Inputs!E20</f>
        <v>0.4</v>
      </c>
      <c r="R35" s="28" t="s">
        <v>608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3839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1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3908</v>
      </c>
      <c r="B36" s="222" t="s">
        <v>3833</v>
      </c>
      <c r="C36" s="28" t="s">
        <v>3834</v>
      </c>
      <c r="D36" s="28" t="s">
        <v>3909</v>
      </c>
      <c r="E36" s="19" t="s">
        <v>122</v>
      </c>
      <c r="F36" s="28" t="s">
        <v>94</v>
      </c>
      <c r="G36" s="222" t="s">
        <v>1137</v>
      </c>
      <c r="H36" s="28" t="s">
        <v>608</v>
      </c>
      <c r="I36" s="6" t="s">
        <v>608</v>
      </c>
      <c r="J36" s="28" t="s">
        <v>608</v>
      </c>
      <c r="K36" s="222"/>
      <c r="L36" s="222"/>
      <c r="M36" s="28" t="s">
        <v>608</v>
      </c>
      <c r="N36" s="19" t="s">
        <v>3907</v>
      </c>
      <c r="O36" s="6" t="s">
        <v>608</v>
      </c>
      <c r="P36" s="222" t="s">
        <v>1137</v>
      </c>
      <c r="Q36" s="183" t="n">
        <f aca="false">Inputs!D20</f>
        <v>0.3</v>
      </c>
      <c r="R36" s="28" t="s">
        <v>608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3839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1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3910</v>
      </c>
      <c r="B37" s="222" t="s">
        <v>3833</v>
      </c>
      <c r="C37" s="28" t="s">
        <v>3834</v>
      </c>
      <c r="D37" s="28" t="s">
        <v>3911</v>
      </c>
      <c r="E37" s="19" t="s">
        <v>122</v>
      </c>
      <c r="F37" s="28" t="s">
        <v>94</v>
      </c>
      <c r="G37" s="222" t="s">
        <v>1138</v>
      </c>
      <c r="H37" s="28" t="s">
        <v>608</v>
      </c>
      <c r="I37" s="6" t="s">
        <v>608</v>
      </c>
      <c r="J37" s="28" t="s">
        <v>608</v>
      </c>
      <c r="K37" s="222"/>
      <c r="L37" s="222"/>
      <c r="M37" s="28" t="s">
        <v>608</v>
      </c>
      <c r="N37" s="19" t="s">
        <v>3907</v>
      </c>
      <c r="O37" s="6" t="s">
        <v>608</v>
      </c>
      <c r="P37" s="222" t="s">
        <v>1137</v>
      </c>
      <c r="Q37" s="183" t="n">
        <f aca="false">Inputs!F20</f>
        <v>0.5</v>
      </c>
      <c r="R37" s="28" t="s">
        <v>608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3839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1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3912</v>
      </c>
      <c r="B38" s="222" t="s">
        <v>3833</v>
      </c>
      <c r="C38" s="28" t="s">
        <v>3834</v>
      </c>
      <c r="D38" s="28" t="s">
        <v>3913</v>
      </c>
      <c r="E38" s="19" t="s">
        <v>123</v>
      </c>
      <c r="F38" s="28" t="s">
        <v>94</v>
      </c>
      <c r="G38" s="222" t="s">
        <v>79</v>
      </c>
      <c r="H38" s="28" t="s">
        <v>608</v>
      </c>
      <c r="I38" s="6" t="s">
        <v>608</v>
      </c>
      <c r="J38" s="28" t="s">
        <v>608</v>
      </c>
      <c r="K38" s="187" t="n">
        <f aca="false">Inputs!$D$21</f>
        <v>0.12</v>
      </c>
      <c r="L38" s="187" t="n">
        <f aca="false">Inputs!$F$21</f>
        <v>0.18</v>
      </c>
      <c r="M38" s="28" t="s">
        <v>608</v>
      </c>
      <c r="N38" s="6" t="s">
        <v>3914</v>
      </c>
      <c r="O38" s="6" t="s">
        <v>608</v>
      </c>
      <c r="P38" s="222" t="s">
        <v>1137</v>
      </c>
      <c r="Q38" s="187" t="n">
        <f aca="false">Inputs!E21</f>
        <v>0.15</v>
      </c>
      <c r="R38" s="28" t="s">
        <v>608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3839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1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3915</v>
      </c>
      <c r="B39" s="222" t="s">
        <v>3833</v>
      </c>
      <c r="C39" s="28" t="s">
        <v>3834</v>
      </c>
      <c r="D39" s="28" t="s">
        <v>3916</v>
      </c>
      <c r="E39" s="19" t="s">
        <v>123</v>
      </c>
      <c r="F39" s="28" t="s">
        <v>94</v>
      </c>
      <c r="G39" s="222" t="s">
        <v>1137</v>
      </c>
      <c r="H39" s="28" t="s">
        <v>608</v>
      </c>
      <c r="I39" s="6" t="s">
        <v>608</v>
      </c>
      <c r="J39" s="28" t="s">
        <v>608</v>
      </c>
      <c r="K39" s="222"/>
      <c r="L39" s="222"/>
      <c r="M39" s="28" t="s">
        <v>608</v>
      </c>
      <c r="N39" s="6" t="s">
        <v>3914</v>
      </c>
      <c r="O39" s="6" t="s">
        <v>608</v>
      </c>
      <c r="P39" s="222" t="s">
        <v>1137</v>
      </c>
      <c r="Q39" s="187" t="n">
        <f aca="false">Inputs!D21</f>
        <v>0.12</v>
      </c>
      <c r="R39" s="28" t="s">
        <v>608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3839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1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3917</v>
      </c>
      <c r="B40" s="222" t="s">
        <v>3833</v>
      </c>
      <c r="C40" s="28" t="s">
        <v>3834</v>
      </c>
      <c r="D40" s="28" t="s">
        <v>3918</v>
      </c>
      <c r="E40" s="19" t="s">
        <v>123</v>
      </c>
      <c r="F40" s="28" t="s">
        <v>94</v>
      </c>
      <c r="G40" s="222" t="s">
        <v>1138</v>
      </c>
      <c r="H40" s="28" t="s">
        <v>608</v>
      </c>
      <c r="I40" s="6" t="s">
        <v>608</v>
      </c>
      <c r="J40" s="28" t="s">
        <v>608</v>
      </c>
      <c r="K40" s="222"/>
      <c r="L40" s="222"/>
      <c r="M40" s="28" t="s">
        <v>608</v>
      </c>
      <c r="N40" s="6" t="s">
        <v>3914</v>
      </c>
      <c r="O40" s="6" t="s">
        <v>608</v>
      </c>
      <c r="P40" s="222" t="s">
        <v>1137</v>
      </c>
      <c r="Q40" s="187" t="n">
        <f aca="false">Inputs!F21</f>
        <v>0.18</v>
      </c>
      <c r="R40" s="28" t="s">
        <v>608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3839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1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3919</v>
      </c>
      <c r="B41" s="222" t="s">
        <v>3833</v>
      </c>
      <c r="C41" s="28" t="s">
        <v>3834</v>
      </c>
      <c r="D41" s="28" t="s">
        <v>3920</v>
      </c>
      <c r="E41" s="6" t="s">
        <v>136</v>
      </c>
      <c r="F41" s="28" t="s">
        <v>94</v>
      </c>
      <c r="G41" s="222" t="s">
        <v>79</v>
      </c>
      <c r="H41" s="28" t="s">
        <v>608</v>
      </c>
      <c r="I41" s="6" t="s">
        <v>608</v>
      </c>
      <c r="J41" s="28" t="s">
        <v>3853</v>
      </c>
      <c r="K41" s="187" t="n">
        <f aca="false">Inputs!$D$28</f>
        <v>0.08</v>
      </c>
      <c r="L41" s="187" t="n">
        <f aca="false">Inputs!$F$28</f>
        <v>0.13</v>
      </c>
      <c r="M41" s="28" t="s">
        <v>608</v>
      </c>
      <c r="N41" s="223" t="str">
        <f aca="false">Inputs!$H$28</f>
        <v>與擁有者無關的單一假設；下游公司模型以自身 WACC 覆寫（Andy 2026-09-30 決定）</v>
      </c>
      <c r="O41" s="6" t="s">
        <v>608</v>
      </c>
      <c r="P41" s="222" t="s">
        <v>3894</v>
      </c>
      <c r="Q41" s="187" t="n">
        <f aca="false">Inputs!E28</f>
        <v>0.1</v>
      </c>
      <c r="R41" s="28" t="s">
        <v>608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3839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1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3921</v>
      </c>
      <c r="B42" s="222" t="s">
        <v>3833</v>
      </c>
      <c r="C42" s="28" t="s">
        <v>3834</v>
      </c>
      <c r="D42" s="28" t="s">
        <v>3922</v>
      </c>
      <c r="E42" s="6" t="s">
        <v>136</v>
      </c>
      <c r="F42" s="28" t="s">
        <v>94</v>
      </c>
      <c r="G42" s="222" t="s">
        <v>1137</v>
      </c>
      <c r="H42" s="28" t="s">
        <v>608</v>
      </c>
      <c r="I42" s="6" t="s">
        <v>608</v>
      </c>
      <c r="J42" s="28" t="s">
        <v>608</v>
      </c>
      <c r="K42" s="222"/>
      <c r="L42" s="222"/>
      <c r="M42" s="28" t="s">
        <v>608</v>
      </c>
      <c r="N42" s="223" t="str">
        <f aca="false">Inputs!$H$28</f>
        <v>與擁有者無關的單一假設；下游公司模型以自身 WACC 覆寫（Andy 2026-09-30 決定）</v>
      </c>
      <c r="O42" s="6" t="s">
        <v>608</v>
      </c>
      <c r="P42" s="222" t="s">
        <v>3894</v>
      </c>
      <c r="Q42" s="187" t="n">
        <f aca="false">Inputs!D28</f>
        <v>0.08</v>
      </c>
      <c r="R42" s="28" t="s">
        <v>608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3839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1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3923</v>
      </c>
      <c r="B43" s="222" t="s">
        <v>3833</v>
      </c>
      <c r="C43" s="28" t="s">
        <v>3834</v>
      </c>
      <c r="D43" s="28" t="s">
        <v>3924</v>
      </c>
      <c r="E43" s="6" t="s">
        <v>136</v>
      </c>
      <c r="F43" s="28" t="s">
        <v>94</v>
      </c>
      <c r="G43" s="222" t="s">
        <v>1138</v>
      </c>
      <c r="H43" s="28" t="s">
        <v>608</v>
      </c>
      <c r="I43" s="6" t="s">
        <v>608</v>
      </c>
      <c r="J43" s="28" t="s">
        <v>608</v>
      </c>
      <c r="K43" s="222"/>
      <c r="L43" s="222"/>
      <c r="M43" s="28" t="s">
        <v>608</v>
      </c>
      <c r="N43" s="223" t="str">
        <f aca="false">Inputs!$H$28</f>
        <v>與擁有者無關的單一假設；下游公司模型以自身 WACC 覆寫（Andy 2026-09-30 決定）</v>
      </c>
      <c r="O43" s="6" t="s">
        <v>608</v>
      </c>
      <c r="P43" s="222" t="s">
        <v>3894</v>
      </c>
      <c r="Q43" s="187" t="n">
        <f aca="false">Inputs!F28</f>
        <v>0.13</v>
      </c>
      <c r="R43" s="28" t="s">
        <v>608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3839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1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3925</v>
      </c>
      <c r="B44" s="222" t="s">
        <v>3833</v>
      </c>
      <c r="C44" s="28" t="s">
        <v>3834</v>
      </c>
      <c r="D44" s="28" t="s">
        <v>3926</v>
      </c>
      <c r="E44" s="6" t="s">
        <v>139</v>
      </c>
      <c r="F44" s="28" t="s">
        <v>3927</v>
      </c>
      <c r="G44" s="222" t="s">
        <v>79</v>
      </c>
      <c r="H44" s="28" t="s">
        <v>608</v>
      </c>
      <c r="I44" s="6" t="s">
        <v>608</v>
      </c>
      <c r="J44" s="28" t="s">
        <v>3928</v>
      </c>
      <c r="K44" s="187" t="n">
        <f aca="false">Inputs!$D$30</f>
        <v>0.0102443497224425</v>
      </c>
      <c r="L44" s="187" t="n">
        <f aca="false">Inputs!$F$30</f>
        <v>0.0182477678962645</v>
      </c>
      <c r="M44" s="28" t="s">
        <v>608</v>
      </c>
      <c r="N44" s="6" t="s">
        <v>3929</v>
      </c>
      <c r="O44" s="6" t="s">
        <v>3930</v>
      </c>
      <c r="P44" s="222" t="s">
        <v>1137</v>
      </c>
      <c r="Q44" s="187" t="n">
        <f aca="false">Inputs!E30</f>
        <v>0.0157250107250107</v>
      </c>
      <c r="R44" s="28" t="s">
        <v>608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3931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1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3932</v>
      </c>
      <c r="B45" s="222" t="s">
        <v>3833</v>
      </c>
      <c r="C45" s="28" t="s">
        <v>3834</v>
      </c>
      <c r="D45" s="28" t="s">
        <v>3933</v>
      </c>
      <c r="E45" s="6" t="s">
        <v>139</v>
      </c>
      <c r="F45" s="28" t="s">
        <v>3927</v>
      </c>
      <c r="G45" s="222" t="s">
        <v>1137</v>
      </c>
      <c r="H45" s="28" t="s">
        <v>608</v>
      </c>
      <c r="I45" s="6" t="s">
        <v>608</v>
      </c>
      <c r="J45" s="28" t="s">
        <v>3928</v>
      </c>
      <c r="K45" s="222"/>
      <c r="L45" s="222"/>
      <c r="M45" s="28" t="s">
        <v>608</v>
      </c>
      <c r="N45" s="6" t="s">
        <v>3934</v>
      </c>
      <c r="O45" s="6" t="s">
        <v>3930</v>
      </c>
      <c r="P45" s="222" t="s">
        <v>1137</v>
      </c>
      <c r="Q45" s="187" t="n">
        <f aca="false">Inputs!D30</f>
        <v>0.0102443497224425</v>
      </c>
      <c r="R45" s="28" t="s">
        <v>608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3931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1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3935</v>
      </c>
      <c r="B46" s="222" t="s">
        <v>3833</v>
      </c>
      <c r="C46" s="28" t="s">
        <v>3834</v>
      </c>
      <c r="D46" s="28" t="s">
        <v>3936</v>
      </c>
      <c r="E46" s="6" t="s">
        <v>139</v>
      </c>
      <c r="F46" s="28" t="s">
        <v>3927</v>
      </c>
      <c r="G46" s="222" t="s">
        <v>1138</v>
      </c>
      <c r="H46" s="28" t="s">
        <v>608</v>
      </c>
      <c r="I46" s="6" t="s">
        <v>608</v>
      </c>
      <c r="J46" s="28" t="s">
        <v>3928</v>
      </c>
      <c r="K46" s="222"/>
      <c r="L46" s="222"/>
      <c r="M46" s="28" t="s">
        <v>608</v>
      </c>
      <c r="N46" s="6" t="s">
        <v>3937</v>
      </c>
      <c r="O46" s="6" t="s">
        <v>3930</v>
      </c>
      <c r="P46" s="222" t="s">
        <v>1137</v>
      </c>
      <c r="Q46" s="187" t="n">
        <f aca="false">Inputs!F30</f>
        <v>0.0182477678962645</v>
      </c>
      <c r="R46" s="28" t="s">
        <v>608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3931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1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3938</v>
      </c>
      <c r="B47" s="222" t="s">
        <v>3833</v>
      </c>
      <c r="C47" s="28" t="s">
        <v>3834</v>
      </c>
      <c r="D47" s="28" t="s">
        <v>3939</v>
      </c>
      <c r="E47" s="19" t="s">
        <v>143</v>
      </c>
      <c r="F47" s="28" t="s">
        <v>94</v>
      </c>
      <c r="G47" s="222" t="s">
        <v>79</v>
      </c>
      <c r="H47" s="28" t="s">
        <v>608</v>
      </c>
      <c r="I47" s="6" t="s">
        <v>608</v>
      </c>
      <c r="J47" s="28" t="s">
        <v>608</v>
      </c>
      <c r="K47" s="187" t="n">
        <f aca="false">Inputs!$D$31</f>
        <v>0.015</v>
      </c>
      <c r="L47" s="187" t="n">
        <f aca="false">Inputs!$F$31</f>
        <v>0.025</v>
      </c>
      <c r="M47" s="28" t="s">
        <v>608</v>
      </c>
      <c r="N47" s="6" t="s">
        <v>145</v>
      </c>
      <c r="O47" s="6" t="s">
        <v>3940</v>
      </c>
      <c r="P47" s="222" t="s">
        <v>1137</v>
      </c>
      <c r="Q47" s="187" t="n">
        <f aca="false">Inputs!E31</f>
        <v>0.02</v>
      </c>
      <c r="R47" s="28" t="s">
        <v>608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3839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1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3941</v>
      </c>
      <c r="B48" s="222" t="s">
        <v>3833</v>
      </c>
      <c r="C48" s="28" t="s">
        <v>3834</v>
      </c>
      <c r="D48" s="28" t="s">
        <v>3942</v>
      </c>
      <c r="E48" s="19" t="s">
        <v>143</v>
      </c>
      <c r="F48" s="28" t="s">
        <v>94</v>
      </c>
      <c r="G48" s="222" t="s">
        <v>1137</v>
      </c>
      <c r="H48" s="28" t="s">
        <v>608</v>
      </c>
      <c r="I48" s="6" t="s">
        <v>608</v>
      </c>
      <c r="J48" s="28" t="s">
        <v>608</v>
      </c>
      <c r="K48" s="222"/>
      <c r="L48" s="222"/>
      <c r="M48" s="28" t="s">
        <v>608</v>
      </c>
      <c r="N48" s="6" t="s">
        <v>145</v>
      </c>
      <c r="O48" s="6" t="s">
        <v>3940</v>
      </c>
      <c r="P48" s="222" t="s">
        <v>1137</v>
      </c>
      <c r="Q48" s="187" t="n">
        <f aca="false">Inputs!D31</f>
        <v>0.015</v>
      </c>
      <c r="R48" s="28" t="s">
        <v>608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3839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1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3943</v>
      </c>
      <c r="B49" s="222" t="s">
        <v>3833</v>
      </c>
      <c r="C49" s="28" t="s">
        <v>3834</v>
      </c>
      <c r="D49" s="28" t="s">
        <v>3944</v>
      </c>
      <c r="E49" s="19" t="s">
        <v>143</v>
      </c>
      <c r="F49" s="28" t="s">
        <v>94</v>
      </c>
      <c r="G49" s="222" t="s">
        <v>1138</v>
      </c>
      <c r="H49" s="28" t="s">
        <v>608</v>
      </c>
      <c r="I49" s="6" t="s">
        <v>608</v>
      </c>
      <c r="J49" s="28" t="s">
        <v>608</v>
      </c>
      <c r="K49" s="222"/>
      <c r="L49" s="222"/>
      <c r="M49" s="28" t="s">
        <v>608</v>
      </c>
      <c r="N49" s="6" t="s">
        <v>145</v>
      </c>
      <c r="O49" s="6" t="s">
        <v>3940</v>
      </c>
      <c r="P49" s="222" t="s">
        <v>1137</v>
      </c>
      <c r="Q49" s="187" t="n">
        <f aca="false">Inputs!F31</f>
        <v>0.025</v>
      </c>
      <c r="R49" s="28" t="s">
        <v>608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3839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1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3945</v>
      </c>
      <c r="B50" s="222" t="s">
        <v>3833</v>
      </c>
      <c r="C50" s="28" t="s">
        <v>3834</v>
      </c>
      <c r="D50" s="28" t="s">
        <v>3946</v>
      </c>
      <c r="E50" s="19" t="s">
        <v>146</v>
      </c>
      <c r="F50" s="28" t="s">
        <v>94</v>
      </c>
      <c r="G50" s="222" t="s">
        <v>79</v>
      </c>
      <c r="H50" s="28" t="s">
        <v>608</v>
      </c>
      <c r="I50" s="6" t="s">
        <v>608</v>
      </c>
      <c r="J50" s="28" t="s">
        <v>608</v>
      </c>
      <c r="K50" s="46" t="n">
        <f aca="false">Inputs!$D$32</f>
        <v>50</v>
      </c>
      <c r="L50" s="46" t="n">
        <f aca="false">Inputs!$F$32</f>
        <v>100</v>
      </c>
      <c r="M50" s="28" t="s">
        <v>608</v>
      </c>
      <c r="N50" s="223" t="str">
        <f aca="false">Inputs!$H$32</f>
        <v>v4：500 FTE × $150K</v>
      </c>
      <c r="O50" s="6" t="s">
        <v>608</v>
      </c>
      <c r="P50" s="222" t="s">
        <v>1137</v>
      </c>
      <c r="Q50" s="46" t="n">
        <f aca="false">Inputs!E32</f>
        <v>75</v>
      </c>
      <c r="R50" s="28" t="s">
        <v>608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3839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1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3947</v>
      </c>
      <c r="B51" s="222" t="s">
        <v>3833</v>
      </c>
      <c r="C51" s="28" t="s">
        <v>3834</v>
      </c>
      <c r="D51" s="28" t="s">
        <v>3948</v>
      </c>
      <c r="E51" s="19" t="s">
        <v>146</v>
      </c>
      <c r="F51" s="28" t="s">
        <v>94</v>
      </c>
      <c r="G51" s="222" t="s">
        <v>1137</v>
      </c>
      <c r="H51" s="28" t="s">
        <v>608</v>
      </c>
      <c r="I51" s="6" t="s">
        <v>608</v>
      </c>
      <c r="J51" s="28" t="s">
        <v>608</v>
      </c>
      <c r="K51" s="222"/>
      <c r="L51" s="222"/>
      <c r="M51" s="28" t="s">
        <v>608</v>
      </c>
      <c r="N51" s="223" t="str">
        <f aca="false">Inputs!$H$32</f>
        <v>v4：500 FTE × $150K</v>
      </c>
      <c r="O51" s="6" t="s">
        <v>608</v>
      </c>
      <c r="P51" s="222" t="s">
        <v>1137</v>
      </c>
      <c r="Q51" s="46" t="n">
        <f aca="false">Inputs!D32</f>
        <v>50</v>
      </c>
      <c r="R51" s="28" t="s">
        <v>608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3839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1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3949</v>
      </c>
      <c r="B52" s="222" t="s">
        <v>3833</v>
      </c>
      <c r="C52" s="28" t="s">
        <v>3834</v>
      </c>
      <c r="D52" s="28" t="s">
        <v>3950</v>
      </c>
      <c r="E52" s="19" t="s">
        <v>146</v>
      </c>
      <c r="F52" s="28" t="s">
        <v>94</v>
      </c>
      <c r="G52" s="222" t="s">
        <v>1138</v>
      </c>
      <c r="H52" s="28" t="s">
        <v>608</v>
      </c>
      <c r="I52" s="6" t="s">
        <v>608</v>
      </c>
      <c r="J52" s="28" t="s">
        <v>608</v>
      </c>
      <c r="K52" s="222"/>
      <c r="L52" s="222"/>
      <c r="M52" s="28" t="s">
        <v>608</v>
      </c>
      <c r="N52" s="223" t="str">
        <f aca="false">Inputs!$H$32</f>
        <v>v4：500 FTE × $150K</v>
      </c>
      <c r="O52" s="6" t="s">
        <v>608</v>
      </c>
      <c r="P52" s="222" t="s">
        <v>1137</v>
      </c>
      <c r="Q52" s="46" t="n">
        <f aca="false">Inputs!F32</f>
        <v>100</v>
      </c>
      <c r="R52" s="28" t="s">
        <v>608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3839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1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3951</v>
      </c>
      <c r="B53" s="222" t="s">
        <v>3833</v>
      </c>
      <c r="C53" s="28" t="s">
        <v>3834</v>
      </c>
      <c r="D53" s="28" t="s">
        <v>3952</v>
      </c>
      <c r="E53" s="19" t="s">
        <v>149</v>
      </c>
      <c r="F53" s="28" t="s">
        <v>94</v>
      </c>
      <c r="G53" s="222" t="s">
        <v>79</v>
      </c>
      <c r="H53" s="28" t="s">
        <v>608</v>
      </c>
      <c r="I53" s="6" t="s">
        <v>608</v>
      </c>
      <c r="J53" s="28" t="s">
        <v>608</v>
      </c>
      <c r="K53" s="46" t="n">
        <f aca="false">Inputs!$D$33</f>
        <v>150</v>
      </c>
      <c r="L53" s="46" t="n">
        <f aca="false">Inputs!$F$33</f>
        <v>250</v>
      </c>
      <c r="M53" s="28" t="s">
        <v>608</v>
      </c>
      <c r="N53" s="223" t="str">
        <f aca="false">Inputs!$H$33</f>
        <v>v4＝$200M</v>
      </c>
      <c r="O53" s="6" t="s">
        <v>608</v>
      </c>
      <c r="P53" s="222" t="s">
        <v>1137</v>
      </c>
      <c r="Q53" s="46" t="n">
        <f aca="false">Inputs!E33</f>
        <v>200</v>
      </c>
      <c r="R53" s="28" t="s">
        <v>608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3839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1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3953</v>
      </c>
      <c r="B54" s="222" t="s">
        <v>3833</v>
      </c>
      <c r="C54" s="28" t="s">
        <v>3834</v>
      </c>
      <c r="D54" s="28" t="s">
        <v>3954</v>
      </c>
      <c r="E54" s="19" t="s">
        <v>149</v>
      </c>
      <c r="F54" s="28" t="s">
        <v>94</v>
      </c>
      <c r="G54" s="222" t="s">
        <v>1137</v>
      </c>
      <c r="H54" s="28" t="s">
        <v>608</v>
      </c>
      <c r="I54" s="6" t="s">
        <v>608</v>
      </c>
      <c r="J54" s="28" t="s">
        <v>608</v>
      </c>
      <c r="K54" s="222"/>
      <c r="L54" s="222"/>
      <c r="M54" s="28" t="s">
        <v>608</v>
      </c>
      <c r="N54" s="223" t="str">
        <f aca="false">Inputs!$H$33</f>
        <v>v4＝$200M</v>
      </c>
      <c r="O54" s="6" t="s">
        <v>608</v>
      </c>
      <c r="P54" s="222" t="s">
        <v>1137</v>
      </c>
      <c r="Q54" s="46" t="n">
        <f aca="false">Inputs!D33</f>
        <v>150</v>
      </c>
      <c r="R54" s="28" t="s">
        <v>608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3839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1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3955</v>
      </c>
      <c r="B55" s="222" t="s">
        <v>3833</v>
      </c>
      <c r="C55" s="28" t="s">
        <v>3834</v>
      </c>
      <c r="D55" s="28" t="s">
        <v>3956</v>
      </c>
      <c r="E55" s="19" t="s">
        <v>149</v>
      </c>
      <c r="F55" s="28" t="s">
        <v>94</v>
      </c>
      <c r="G55" s="222" t="s">
        <v>1138</v>
      </c>
      <c r="H55" s="28" t="s">
        <v>608</v>
      </c>
      <c r="I55" s="6" t="s">
        <v>608</v>
      </c>
      <c r="J55" s="28" t="s">
        <v>608</v>
      </c>
      <c r="K55" s="222"/>
      <c r="L55" s="222"/>
      <c r="M55" s="28" t="s">
        <v>608</v>
      </c>
      <c r="N55" s="223" t="str">
        <f aca="false">Inputs!$H$33</f>
        <v>v4＝$200M</v>
      </c>
      <c r="O55" s="6" t="s">
        <v>608</v>
      </c>
      <c r="P55" s="222" t="s">
        <v>1137</v>
      </c>
      <c r="Q55" s="46" t="n">
        <f aca="false">Inputs!F33</f>
        <v>250</v>
      </c>
      <c r="R55" s="28" t="s">
        <v>608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3839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1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3957</v>
      </c>
      <c r="B56" s="222" t="s">
        <v>3833</v>
      </c>
      <c r="C56" s="28" t="s">
        <v>3834</v>
      </c>
      <c r="D56" s="28" t="s">
        <v>3958</v>
      </c>
      <c r="E56" s="19" t="s">
        <v>151</v>
      </c>
      <c r="F56" s="28" t="s">
        <v>94</v>
      </c>
      <c r="G56" s="222" t="s">
        <v>79</v>
      </c>
      <c r="H56" s="28" t="s">
        <v>608</v>
      </c>
      <c r="I56" s="6" t="s">
        <v>608</v>
      </c>
      <c r="J56" s="28" t="s">
        <v>608</v>
      </c>
      <c r="K56" s="183" t="n">
        <f aca="false">Inputs!$D$34</f>
        <v>0.04</v>
      </c>
      <c r="L56" s="183" t="n">
        <f aca="false">Inputs!$F$34</f>
        <v>0.06</v>
      </c>
      <c r="M56" s="28" t="s">
        <v>608</v>
      </c>
      <c r="N56" s="223" t="str">
        <f aca="false">Inputs!$H$34</f>
        <v>v4＝$50K/MW</v>
      </c>
      <c r="O56" s="6" t="s">
        <v>608</v>
      </c>
      <c r="P56" s="222" t="s">
        <v>1137</v>
      </c>
      <c r="Q56" s="183" t="n">
        <f aca="false">Inputs!E34</f>
        <v>0.05</v>
      </c>
      <c r="R56" s="28" t="s">
        <v>608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3839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1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3959</v>
      </c>
      <c r="B57" s="222" t="s">
        <v>3833</v>
      </c>
      <c r="C57" s="28" t="s">
        <v>3834</v>
      </c>
      <c r="D57" s="28" t="s">
        <v>3960</v>
      </c>
      <c r="E57" s="19" t="s">
        <v>151</v>
      </c>
      <c r="F57" s="28" t="s">
        <v>94</v>
      </c>
      <c r="G57" s="222" t="s">
        <v>1137</v>
      </c>
      <c r="H57" s="28" t="s">
        <v>608</v>
      </c>
      <c r="I57" s="6" t="s">
        <v>608</v>
      </c>
      <c r="J57" s="28" t="s">
        <v>608</v>
      </c>
      <c r="K57" s="222"/>
      <c r="L57" s="222"/>
      <c r="M57" s="28" t="s">
        <v>608</v>
      </c>
      <c r="N57" s="223" t="str">
        <f aca="false">Inputs!$H$34</f>
        <v>v4＝$50K/MW</v>
      </c>
      <c r="O57" s="6" t="s">
        <v>608</v>
      </c>
      <c r="P57" s="222" t="s">
        <v>1137</v>
      </c>
      <c r="Q57" s="183" t="n">
        <f aca="false">Inputs!D34</f>
        <v>0.04</v>
      </c>
      <c r="R57" s="28" t="s">
        <v>608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3839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1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3961</v>
      </c>
      <c r="B58" s="222" t="s">
        <v>3833</v>
      </c>
      <c r="C58" s="28" t="s">
        <v>3834</v>
      </c>
      <c r="D58" s="28" t="s">
        <v>3962</v>
      </c>
      <c r="E58" s="19" t="s">
        <v>151</v>
      </c>
      <c r="F58" s="28" t="s">
        <v>94</v>
      </c>
      <c r="G58" s="222" t="s">
        <v>1138</v>
      </c>
      <c r="H58" s="28" t="s">
        <v>608</v>
      </c>
      <c r="I58" s="6" t="s">
        <v>608</v>
      </c>
      <c r="J58" s="28" t="s">
        <v>608</v>
      </c>
      <c r="K58" s="222"/>
      <c r="L58" s="222"/>
      <c r="M58" s="28" t="s">
        <v>608</v>
      </c>
      <c r="N58" s="223" t="str">
        <f aca="false">Inputs!$H$34</f>
        <v>v4＝$50K/MW</v>
      </c>
      <c r="O58" s="6" t="s">
        <v>608</v>
      </c>
      <c r="P58" s="222" t="s">
        <v>1137</v>
      </c>
      <c r="Q58" s="183" t="n">
        <f aca="false">Inputs!F34</f>
        <v>0.06</v>
      </c>
      <c r="R58" s="28" t="s">
        <v>608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3839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1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3963</v>
      </c>
      <c r="B59" s="222" t="s">
        <v>3833</v>
      </c>
      <c r="C59" s="28" t="s">
        <v>3834</v>
      </c>
      <c r="D59" s="28" t="s">
        <v>3964</v>
      </c>
      <c r="E59" s="19" t="s">
        <v>154</v>
      </c>
      <c r="F59" s="28" t="s">
        <v>94</v>
      </c>
      <c r="G59" s="222" t="s">
        <v>79</v>
      </c>
      <c r="H59" s="28" t="s">
        <v>608</v>
      </c>
      <c r="I59" s="6" t="s">
        <v>608</v>
      </c>
      <c r="J59" s="28" t="s">
        <v>608</v>
      </c>
      <c r="K59" s="187" t="n">
        <f aca="false">Inputs!$D$35</f>
        <v>0.003</v>
      </c>
      <c r="L59" s="187" t="n">
        <f aca="false">Inputs!$F$35</f>
        <v>0.008</v>
      </c>
      <c r="M59" s="28" t="s">
        <v>608</v>
      </c>
      <c r="N59" s="223" t="str">
        <f aca="false">Inputs!$H$35</f>
        <v>v4＝0.5%</v>
      </c>
      <c r="O59" s="6" t="s">
        <v>3940</v>
      </c>
      <c r="P59" s="222" t="s">
        <v>1137</v>
      </c>
      <c r="Q59" s="187" t="n">
        <f aca="false">Inputs!E35</f>
        <v>0.005</v>
      </c>
      <c r="R59" s="28" t="s">
        <v>608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3839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1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3965</v>
      </c>
      <c r="B60" s="222" t="s">
        <v>3833</v>
      </c>
      <c r="C60" s="28" t="s">
        <v>3834</v>
      </c>
      <c r="D60" s="28" t="s">
        <v>3966</v>
      </c>
      <c r="E60" s="19" t="s">
        <v>154</v>
      </c>
      <c r="F60" s="28" t="s">
        <v>94</v>
      </c>
      <c r="G60" s="222" t="s">
        <v>1137</v>
      </c>
      <c r="H60" s="28" t="s">
        <v>608</v>
      </c>
      <c r="I60" s="6" t="s">
        <v>608</v>
      </c>
      <c r="J60" s="28" t="s">
        <v>608</v>
      </c>
      <c r="K60" s="222"/>
      <c r="L60" s="222"/>
      <c r="M60" s="28" t="s">
        <v>608</v>
      </c>
      <c r="N60" s="223" t="str">
        <f aca="false">Inputs!$H$35</f>
        <v>v4＝0.5%</v>
      </c>
      <c r="O60" s="6" t="s">
        <v>3940</v>
      </c>
      <c r="P60" s="222" t="s">
        <v>1137</v>
      </c>
      <c r="Q60" s="187" t="n">
        <f aca="false">Inputs!D35</f>
        <v>0.003</v>
      </c>
      <c r="R60" s="28" t="s">
        <v>608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3839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1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3967</v>
      </c>
      <c r="B61" s="222" t="s">
        <v>3833</v>
      </c>
      <c r="C61" s="28" t="s">
        <v>3834</v>
      </c>
      <c r="D61" s="28" t="s">
        <v>3968</v>
      </c>
      <c r="E61" s="19" t="s">
        <v>154</v>
      </c>
      <c r="F61" s="28" t="s">
        <v>94</v>
      </c>
      <c r="G61" s="222" t="s">
        <v>1138</v>
      </c>
      <c r="H61" s="28" t="s">
        <v>608</v>
      </c>
      <c r="I61" s="6" t="s">
        <v>608</v>
      </c>
      <c r="J61" s="28" t="s">
        <v>608</v>
      </c>
      <c r="K61" s="222"/>
      <c r="L61" s="222"/>
      <c r="M61" s="28" t="s">
        <v>608</v>
      </c>
      <c r="N61" s="223" t="str">
        <f aca="false">Inputs!$H$35</f>
        <v>v4＝0.5%</v>
      </c>
      <c r="O61" s="6" t="s">
        <v>3940</v>
      </c>
      <c r="P61" s="222" t="s">
        <v>1137</v>
      </c>
      <c r="Q61" s="187" t="n">
        <f aca="false">Inputs!F35</f>
        <v>0.008</v>
      </c>
      <c r="R61" s="28" t="s">
        <v>608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3839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1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3969</v>
      </c>
      <c r="B62" s="222" t="s">
        <v>3833</v>
      </c>
      <c r="C62" s="28" t="s">
        <v>3834</v>
      </c>
      <c r="D62" s="28" t="s">
        <v>3970</v>
      </c>
      <c r="E62" s="6" t="s">
        <v>127</v>
      </c>
      <c r="F62" s="222" t="s">
        <v>319</v>
      </c>
      <c r="G62" s="222" t="s">
        <v>3835</v>
      </c>
      <c r="H62" s="28" t="s">
        <v>3971</v>
      </c>
      <c r="I62" s="19" t="s">
        <v>3870</v>
      </c>
      <c r="J62" s="28" t="s">
        <v>3972</v>
      </c>
      <c r="K62" s="222"/>
      <c r="L62" s="222"/>
      <c r="M62" s="28" t="s">
        <v>608</v>
      </c>
      <c r="N62" s="19" t="s">
        <v>3973</v>
      </c>
      <c r="O62" s="6" t="s">
        <v>608</v>
      </c>
      <c r="P62" s="222" t="s">
        <v>1138</v>
      </c>
      <c r="Q62" s="46" t="n">
        <f aca="false">Inputs!D23</f>
        <v>6</v>
      </c>
      <c r="R62" s="175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3872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1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3974</v>
      </c>
      <c r="B63" s="222" t="s">
        <v>3833</v>
      </c>
      <c r="C63" s="28" t="s">
        <v>3834</v>
      </c>
      <c r="D63" s="28" t="s">
        <v>3975</v>
      </c>
      <c r="E63" s="6" t="s">
        <v>127</v>
      </c>
      <c r="F63" s="222" t="s">
        <v>319</v>
      </c>
      <c r="G63" s="222" t="s">
        <v>3835</v>
      </c>
      <c r="H63" s="28" t="s">
        <v>3971</v>
      </c>
      <c r="I63" s="19" t="s">
        <v>3870</v>
      </c>
      <c r="J63" s="28" t="s">
        <v>3972</v>
      </c>
      <c r="K63" s="222"/>
      <c r="L63" s="222"/>
      <c r="M63" s="28" t="s">
        <v>608</v>
      </c>
      <c r="N63" s="19" t="s">
        <v>3973</v>
      </c>
      <c r="O63" s="6" t="s">
        <v>608</v>
      </c>
      <c r="P63" s="222" t="s">
        <v>1138</v>
      </c>
      <c r="Q63" s="46" t="n">
        <f aca="false">Inputs!E23</f>
        <v>6</v>
      </c>
      <c r="R63" s="175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3872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1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3976</v>
      </c>
      <c r="B64" s="222" t="s">
        <v>3833</v>
      </c>
      <c r="C64" s="28" t="s">
        <v>3834</v>
      </c>
      <c r="D64" s="28" t="s">
        <v>3977</v>
      </c>
      <c r="E64" s="6" t="s">
        <v>127</v>
      </c>
      <c r="F64" s="222" t="s">
        <v>319</v>
      </c>
      <c r="G64" s="222" t="s">
        <v>3835</v>
      </c>
      <c r="H64" s="28" t="s">
        <v>3978</v>
      </c>
      <c r="I64" s="19" t="s">
        <v>3870</v>
      </c>
      <c r="J64" s="28" t="s">
        <v>3972</v>
      </c>
      <c r="K64" s="222"/>
      <c r="L64" s="222"/>
      <c r="M64" s="28" t="s">
        <v>608</v>
      </c>
      <c r="N64" s="19" t="s">
        <v>3973</v>
      </c>
      <c r="O64" s="6" t="s">
        <v>608</v>
      </c>
      <c r="P64" s="222" t="s">
        <v>1138</v>
      </c>
      <c r="Q64" s="46" t="n">
        <f aca="false">Inputs!F23</f>
        <v>4</v>
      </c>
      <c r="R64" s="175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3872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1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3979</v>
      </c>
      <c r="B65" s="222" t="s">
        <v>3833</v>
      </c>
      <c r="C65" s="28" t="s">
        <v>3834</v>
      </c>
      <c r="D65" s="28" t="s">
        <v>3980</v>
      </c>
      <c r="E65" s="19" t="s">
        <v>131</v>
      </c>
      <c r="F65" s="28" t="s">
        <v>94</v>
      </c>
      <c r="G65" s="222" t="s">
        <v>79</v>
      </c>
      <c r="H65" s="28" t="s">
        <v>608</v>
      </c>
      <c r="I65" s="6" t="s">
        <v>608</v>
      </c>
      <c r="J65" s="28" t="s">
        <v>608</v>
      </c>
      <c r="K65" s="224" t="n">
        <v>25</v>
      </c>
      <c r="L65" s="224" t="n">
        <v>40</v>
      </c>
      <c r="M65" s="28" t="s">
        <v>3981</v>
      </c>
      <c r="N65" s="19" t="s">
        <v>3982</v>
      </c>
      <c r="O65" s="6" t="s">
        <v>3983</v>
      </c>
      <c r="P65" s="222" t="s">
        <v>1137</v>
      </c>
      <c r="Q65" s="46" t="n">
        <f aca="false">Inputs!E24</f>
        <v>30</v>
      </c>
      <c r="R65" s="28" t="s">
        <v>608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3839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1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3984</v>
      </c>
      <c r="B66" s="222" t="s">
        <v>3833</v>
      </c>
      <c r="C66" s="28" t="s">
        <v>3834</v>
      </c>
      <c r="D66" s="28" t="s">
        <v>3985</v>
      </c>
      <c r="E66" s="19" t="s">
        <v>133</v>
      </c>
      <c r="F66" s="28" t="s">
        <v>94</v>
      </c>
      <c r="G66" s="222" t="s">
        <v>79</v>
      </c>
      <c r="H66" s="28" t="s">
        <v>608</v>
      </c>
      <c r="I66" s="6" t="s">
        <v>608</v>
      </c>
      <c r="J66" s="28" t="s">
        <v>608</v>
      </c>
      <c r="K66" s="224" t="n">
        <v>15</v>
      </c>
      <c r="L66" s="224" t="n">
        <v>25</v>
      </c>
      <c r="M66" s="28" t="s">
        <v>3986</v>
      </c>
      <c r="N66" s="19" t="s">
        <v>3987</v>
      </c>
      <c r="O66" s="6" t="s">
        <v>3983</v>
      </c>
      <c r="P66" s="222" t="s">
        <v>1137</v>
      </c>
      <c r="Q66" s="46" t="n">
        <f aca="false">Inputs!E25</f>
        <v>20</v>
      </c>
      <c r="R66" s="28" t="s">
        <v>608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3839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1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3988</v>
      </c>
      <c r="B67" s="222" t="s">
        <v>3833</v>
      </c>
      <c r="C67" s="28" t="s">
        <v>3834</v>
      </c>
      <c r="D67" s="28" t="s">
        <v>3989</v>
      </c>
      <c r="E67" s="19" t="s">
        <v>134</v>
      </c>
      <c r="F67" s="28" t="s">
        <v>94</v>
      </c>
      <c r="G67" s="222" t="s">
        <v>79</v>
      </c>
      <c r="H67" s="28" t="s">
        <v>608</v>
      </c>
      <c r="I67" s="6" t="s">
        <v>608</v>
      </c>
      <c r="J67" s="28" t="s">
        <v>608</v>
      </c>
      <c r="K67" s="224" t="n">
        <v>10</v>
      </c>
      <c r="L67" s="224" t="n">
        <v>20</v>
      </c>
      <c r="M67" s="28" t="s">
        <v>3990</v>
      </c>
      <c r="N67" s="19" t="s">
        <v>3991</v>
      </c>
      <c r="O67" s="6" t="s">
        <v>3983</v>
      </c>
      <c r="P67" s="222" t="s">
        <v>1137</v>
      </c>
      <c r="Q67" s="46" t="n">
        <f aca="false">Inputs!E26</f>
        <v>15</v>
      </c>
      <c r="R67" s="28" t="s">
        <v>608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3839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1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3992</v>
      </c>
      <c r="B68" s="222" t="s">
        <v>3833</v>
      </c>
      <c r="C68" s="28" t="s">
        <v>3834</v>
      </c>
      <c r="D68" s="28" t="s">
        <v>3993</v>
      </c>
      <c r="E68" s="19" t="s">
        <v>135</v>
      </c>
      <c r="F68" s="28" t="s">
        <v>94</v>
      </c>
      <c r="G68" s="222" t="s">
        <v>79</v>
      </c>
      <c r="H68" s="28" t="s">
        <v>608</v>
      </c>
      <c r="I68" s="6" t="s">
        <v>608</v>
      </c>
      <c r="J68" s="28" t="s">
        <v>608</v>
      </c>
      <c r="K68" s="224" t="n">
        <v>7</v>
      </c>
      <c r="L68" s="224" t="n">
        <v>15</v>
      </c>
      <c r="M68" s="28" t="s">
        <v>3994</v>
      </c>
      <c r="N68" s="19" t="s">
        <v>3995</v>
      </c>
      <c r="O68" s="6" t="s">
        <v>3983</v>
      </c>
      <c r="P68" s="222" t="s">
        <v>1137</v>
      </c>
      <c r="Q68" s="46" t="n">
        <f aca="false">Inputs!E27</f>
        <v>10</v>
      </c>
      <c r="R68" s="28" t="s">
        <v>608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3839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1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3996</v>
      </c>
      <c r="B69" s="222" t="s">
        <v>3833</v>
      </c>
      <c r="C69" s="28" t="s">
        <v>3997</v>
      </c>
      <c r="D69" s="28" t="s">
        <v>3998</v>
      </c>
      <c r="E69" s="6" t="s">
        <v>178</v>
      </c>
      <c r="F69" s="28" t="s">
        <v>86</v>
      </c>
      <c r="G69" s="222" t="s">
        <v>3835</v>
      </c>
      <c r="H69" s="28" t="s">
        <v>608</v>
      </c>
      <c r="I69" s="6" t="s">
        <v>608</v>
      </c>
      <c r="J69" s="28" t="s">
        <v>3999</v>
      </c>
      <c r="K69" s="222"/>
      <c r="L69" s="222"/>
      <c r="M69" s="28" t="s">
        <v>608</v>
      </c>
      <c r="N69" s="6" t="s">
        <v>4000</v>
      </c>
      <c r="O69" s="6" t="s">
        <v>608</v>
      </c>
      <c r="P69" s="222" t="s">
        <v>1138</v>
      </c>
      <c r="Q69" s="46" t="n">
        <f aca="false">Spec_Rack!C6</f>
        <v>32</v>
      </c>
      <c r="R69" s="28" t="s">
        <v>608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3839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1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4001</v>
      </c>
      <c r="B70" s="222" t="s">
        <v>3833</v>
      </c>
      <c r="C70" s="28" t="s">
        <v>3997</v>
      </c>
      <c r="D70" s="28" t="s">
        <v>4002</v>
      </c>
      <c r="E70" s="6" t="s">
        <v>178</v>
      </c>
      <c r="F70" s="222" t="s">
        <v>319</v>
      </c>
      <c r="G70" s="222" t="s">
        <v>3835</v>
      </c>
      <c r="H70" s="28" t="s">
        <v>4003</v>
      </c>
      <c r="I70" s="19" t="s">
        <v>3870</v>
      </c>
      <c r="J70" s="28" t="s">
        <v>608</v>
      </c>
      <c r="K70" s="222"/>
      <c r="L70" s="222"/>
      <c r="M70" s="28" t="s">
        <v>608</v>
      </c>
      <c r="N70" s="19" t="s">
        <v>3973</v>
      </c>
      <c r="O70" s="6" t="s">
        <v>608</v>
      </c>
      <c r="P70" s="222" t="s">
        <v>1138</v>
      </c>
      <c r="Q70" s="46" t="n">
        <f aca="false">Spec_Rack!D6</f>
        <v>72</v>
      </c>
      <c r="R70" s="175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3872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1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4004</v>
      </c>
      <c r="B71" s="222" t="s">
        <v>3833</v>
      </c>
      <c r="C71" s="28" t="s">
        <v>3997</v>
      </c>
      <c r="D71" s="28" t="s">
        <v>3686</v>
      </c>
      <c r="E71" s="6" t="s">
        <v>178</v>
      </c>
      <c r="F71" s="222" t="s">
        <v>319</v>
      </c>
      <c r="G71" s="222" t="s">
        <v>3835</v>
      </c>
      <c r="H71" s="28" t="s">
        <v>4003</v>
      </c>
      <c r="I71" s="19" t="s">
        <v>3870</v>
      </c>
      <c r="J71" s="28" t="s">
        <v>608</v>
      </c>
      <c r="K71" s="222"/>
      <c r="L71" s="222"/>
      <c r="M71" s="28" t="s">
        <v>608</v>
      </c>
      <c r="N71" s="19" t="s">
        <v>3973</v>
      </c>
      <c r="O71" s="6" t="s">
        <v>608</v>
      </c>
      <c r="P71" s="222" t="s">
        <v>1138</v>
      </c>
      <c r="Q71" s="46" t="n">
        <f aca="false">Spec_Rack!E6</f>
        <v>72</v>
      </c>
      <c r="R71" s="175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3872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1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4005</v>
      </c>
      <c r="B72" s="222" t="s">
        <v>3833</v>
      </c>
      <c r="C72" s="28" t="s">
        <v>3997</v>
      </c>
      <c r="D72" s="28" t="s">
        <v>4006</v>
      </c>
      <c r="E72" s="6" t="s">
        <v>178</v>
      </c>
      <c r="F72" s="222" t="s">
        <v>319</v>
      </c>
      <c r="G72" s="222" t="s">
        <v>3835</v>
      </c>
      <c r="H72" s="28" t="s">
        <v>4003</v>
      </c>
      <c r="I72" s="19" t="s">
        <v>3870</v>
      </c>
      <c r="J72" s="28" t="s">
        <v>608</v>
      </c>
      <c r="K72" s="222"/>
      <c r="L72" s="222"/>
      <c r="M72" s="28" t="s">
        <v>608</v>
      </c>
      <c r="N72" s="19" t="s">
        <v>3973</v>
      </c>
      <c r="O72" s="6" t="s">
        <v>608</v>
      </c>
      <c r="P72" s="222" t="s">
        <v>1138</v>
      </c>
      <c r="Q72" s="46" t="n">
        <f aca="false">Spec_Rack!F6</f>
        <v>72</v>
      </c>
      <c r="R72" s="175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3872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1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4007</v>
      </c>
      <c r="B73" s="222" t="s">
        <v>3833</v>
      </c>
      <c r="C73" s="28" t="s">
        <v>3997</v>
      </c>
      <c r="D73" s="28" t="s">
        <v>4008</v>
      </c>
      <c r="E73" s="6" t="s">
        <v>178</v>
      </c>
      <c r="F73" s="222" t="s">
        <v>319</v>
      </c>
      <c r="G73" s="222" t="s">
        <v>3835</v>
      </c>
      <c r="H73" s="28" t="s">
        <v>4009</v>
      </c>
      <c r="I73" s="19" t="s">
        <v>3870</v>
      </c>
      <c r="J73" s="28" t="s">
        <v>608</v>
      </c>
      <c r="K73" s="222"/>
      <c r="L73" s="222"/>
      <c r="M73" s="28" t="s">
        <v>608</v>
      </c>
      <c r="N73" s="19" t="s">
        <v>3973</v>
      </c>
      <c r="O73" s="6" t="s">
        <v>608</v>
      </c>
      <c r="P73" s="222" t="s">
        <v>1138</v>
      </c>
      <c r="Q73" s="46" t="n">
        <f aca="false">Spec_Rack!G6</f>
        <v>72</v>
      </c>
      <c r="R73" s="175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3872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1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4010</v>
      </c>
      <c r="B74" s="222" t="s">
        <v>3833</v>
      </c>
      <c r="C74" s="28" t="s">
        <v>3997</v>
      </c>
      <c r="D74" s="28" t="s">
        <v>4011</v>
      </c>
      <c r="E74" s="19" t="s">
        <v>183</v>
      </c>
      <c r="F74" s="28" t="s">
        <v>94</v>
      </c>
      <c r="G74" s="222" t="s">
        <v>1137</v>
      </c>
      <c r="H74" s="28" t="s">
        <v>608</v>
      </c>
      <c r="I74" s="6" t="s">
        <v>608</v>
      </c>
      <c r="J74" s="28" t="s">
        <v>608</v>
      </c>
      <c r="K74" s="222"/>
      <c r="L74" s="222"/>
      <c r="M74" s="28" t="s">
        <v>608</v>
      </c>
      <c r="N74" s="6" t="s">
        <v>4012</v>
      </c>
      <c r="O74" s="6" t="s">
        <v>608</v>
      </c>
      <c r="P74" s="222" t="s">
        <v>3838</v>
      </c>
      <c r="Q74" s="46" t="n">
        <f aca="false">Spec_Rack!C8</f>
        <v>38</v>
      </c>
      <c r="R74" s="28" t="s">
        <v>608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3839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1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4013</v>
      </c>
      <c r="B75" s="222" t="s">
        <v>3833</v>
      </c>
      <c r="C75" s="28" t="s">
        <v>3997</v>
      </c>
      <c r="D75" s="28" t="s">
        <v>4014</v>
      </c>
      <c r="E75" s="19" t="s">
        <v>183</v>
      </c>
      <c r="F75" s="222" t="s">
        <v>319</v>
      </c>
      <c r="G75" s="222" t="s">
        <v>3835</v>
      </c>
      <c r="H75" s="28" t="s">
        <v>4015</v>
      </c>
      <c r="I75" s="19" t="s">
        <v>3870</v>
      </c>
      <c r="J75" s="28" t="s">
        <v>608</v>
      </c>
      <c r="K75" s="222"/>
      <c r="L75" s="222"/>
      <c r="M75" s="28" t="s">
        <v>608</v>
      </c>
      <c r="N75" s="19" t="s">
        <v>3973</v>
      </c>
      <c r="O75" s="6" t="s">
        <v>608</v>
      </c>
      <c r="P75" s="222" t="s">
        <v>3838</v>
      </c>
      <c r="Q75" s="46" t="n">
        <f aca="false">Spec_Rack!D8</f>
        <v>120</v>
      </c>
      <c r="R75" s="175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3872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1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4016</v>
      </c>
      <c r="B76" s="222" t="s">
        <v>3833</v>
      </c>
      <c r="C76" s="28" t="s">
        <v>3997</v>
      </c>
      <c r="D76" s="28" t="s">
        <v>3692</v>
      </c>
      <c r="E76" s="19" t="s">
        <v>183</v>
      </c>
      <c r="F76" s="222" t="s">
        <v>319</v>
      </c>
      <c r="G76" s="222" t="s">
        <v>3835</v>
      </c>
      <c r="H76" s="28" t="s">
        <v>4017</v>
      </c>
      <c r="I76" s="19" t="s">
        <v>3870</v>
      </c>
      <c r="J76" s="28" t="s">
        <v>608</v>
      </c>
      <c r="K76" s="222"/>
      <c r="L76" s="222"/>
      <c r="M76" s="28" t="s">
        <v>608</v>
      </c>
      <c r="N76" s="19" t="s">
        <v>3973</v>
      </c>
      <c r="O76" s="6" t="s">
        <v>608</v>
      </c>
      <c r="P76" s="222" t="s">
        <v>3838</v>
      </c>
      <c r="Q76" s="46" t="n">
        <f aca="false">Spec_Rack!E8</f>
        <v>132</v>
      </c>
      <c r="R76" s="175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3872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1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4018</v>
      </c>
      <c r="B77" s="222" t="s">
        <v>3833</v>
      </c>
      <c r="C77" s="28" t="s">
        <v>3997</v>
      </c>
      <c r="D77" s="28" t="s">
        <v>4019</v>
      </c>
      <c r="E77" s="19" t="s">
        <v>183</v>
      </c>
      <c r="F77" s="222" t="s">
        <v>319</v>
      </c>
      <c r="G77" s="222" t="s">
        <v>3835</v>
      </c>
      <c r="H77" s="28" t="s">
        <v>4020</v>
      </c>
      <c r="I77" s="19" t="s">
        <v>3870</v>
      </c>
      <c r="J77" s="28" t="s">
        <v>608</v>
      </c>
      <c r="K77" s="222"/>
      <c r="L77" s="222"/>
      <c r="M77" s="28" t="s">
        <v>608</v>
      </c>
      <c r="N77" s="19" t="s">
        <v>3973</v>
      </c>
      <c r="O77" s="6" t="s">
        <v>608</v>
      </c>
      <c r="P77" s="222" t="s">
        <v>3838</v>
      </c>
      <c r="Q77" s="46" t="n">
        <f aca="false">Spec_Rack!F8</f>
        <v>188</v>
      </c>
      <c r="R77" s="175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3872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1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4021</v>
      </c>
      <c r="B78" s="222" t="s">
        <v>3833</v>
      </c>
      <c r="C78" s="28" t="s">
        <v>3997</v>
      </c>
      <c r="D78" s="28" t="s">
        <v>4022</v>
      </c>
      <c r="E78" s="19" t="s">
        <v>183</v>
      </c>
      <c r="F78" s="28" t="s">
        <v>141</v>
      </c>
      <c r="G78" s="222" t="s">
        <v>1137</v>
      </c>
      <c r="H78" s="28" t="s">
        <v>608</v>
      </c>
      <c r="I78" s="6" t="s">
        <v>608</v>
      </c>
      <c r="J78" s="28" t="s">
        <v>608</v>
      </c>
      <c r="K78" s="222"/>
      <c r="L78" s="222"/>
      <c r="M78" s="28" t="s">
        <v>608</v>
      </c>
      <c r="N78" s="6" t="s">
        <v>4023</v>
      </c>
      <c r="O78" s="6" t="s">
        <v>608</v>
      </c>
      <c r="P78" s="222" t="s">
        <v>3838</v>
      </c>
      <c r="Q78" s="46" t="n">
        <f aca="false">Spec_Rack!G8</f>
        <v>300</v>
      </c>
      <c r="R78" s="28" t="s">
        <v>608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3839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1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4024</v>
      </c>
      <c r="B79" s="222" t="s">
        <v>3833</v>
      </c>
      <c r="C79" s="28" t="s">
        <v>3997</v>
      </c>
      <c r="D79" s="28" t="s">
        <v>4025</v>
      </c>
      <c r="E79" s="19" t="s">
        <v>184</v>
      </c>
      <c r="F79" s="222" t="s">
        <v>4026</v>
      </c>
      <c r="G79" s="222" t="s">
        <v>79</v>
      </c>
      <c r="H79" s="28" t="s">
        <v>4027</v>
      </c>
      <c r="I79" s="19" t="s">
        <v>4028</v>
      </c>
      <c r="J79" s="28" t="s">
        <v>608</v>
      </c>
      <c r="K79" s="46" t="n">
        <f aca="false">Spec_Rack!C8</f>
        <v>38</v>
      </c>
      <c r="L79" s="46" t="n">
        <f aca="false">Spec_Rack!C10</f>
        <v>44</v>
      </c>
      <c r="M79" s="28" t="s">
        <v>608</v>
      </c>
      <c r="N79" s="19" t="s">
        <v>4029</v>
      </c>
      <c r="O79" s="6" t="s">
        <v>608</v>
      </c>
      <c r="P79" s="222" t="s">
        <v>1138</v>
      </c>
      <c r="Q79" s="46" t="n">
        <f aca="false">Spec_Rack!C9</f>
        <v>41</v>
      </c>
      <c r="R79" s="175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3839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1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4030</v>
      </c>
      <c r="B80" s="222" t="s">
        <v>3833</v>
      </c>
      <c r="C80" s="28" t="s">
        <v>3997</v>
      </c>
      <c r="D80" s="28" t="s">
        <v>3848</v>
      </c>
      <c r="E80" s="19" t="s">
        <v>184</v>
      </c>
      <c r="F80" s="222" t="s">
        <v>319</v>
      </c>
      <c r="G80" s="222" t="s">
        <v>79</v>
      </c>
      <c r="H80" s="28" t="s">
        <v>4015</v>
      </c>
      <c r="I80" s="19" t="s">
        <v>4031</v>
      </c>
      <c r="J80" s="28" t="s">
        <v>608</v>
      </c>
      <c r="K80" s="46" t="n">
        <f aca="false">Spec_Rack!D8</f>
        <v>120</v>
      </c>
      <c r="L80" s="46" t="n">
        <f aca="false">Spec_Rack!D10</f>
        <v>140</v>
      </c>
      <c r="M80" s="28" t="s">
        <v>608</v>
      </c>
      <c r="N80" s="19" t="s">
        <v>4032</v>
      </c>
      <c r="O80" s="6" t="s">
        <v>608</v>
      </c>
      <c r="P80" s="222" t="s">
        <v>1138</v>
      </c>
      <c r="Q80" s="46" t="n">
        <f aca="false">Spec_Rack!D9</f>
        <v>132</v>
      </c>
      <c r="R80" s="175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3872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1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4033</v>
      </c>
      <c r="B81" s="222" t="s">
        <v>3833</v>
      </c>
      <c r="C81" s="28" t="s">
        <v>3997</v>
      </c>
      <c r="D81" s="28" t="s">
        <v>3695</v>
      </c>
      <c r="E81" s="19" t="s">
        <v>184</v>
      </c>
      <c r="F81" s="222" t="s">
        <v>141</v>
      </c>
      <c r="G81" s="222" t="s">
        <v>79</v>
      </c>
      <c r="H81" s="28" t="s">
        <v>4017</v>
      </c>
      <c r="I81" s="19" t="s">
        <v>4034</v>
      </c>
      <c r="J81" s="28" t="s">
        <v>608</v>
      </c>
      <c r="K81" s="46" t="n">
        <f aca="false">Spec_Rack!E8</f>
        <v>132</v>
      </c>
      <c r="L81" s="46" t="n">
        <f aca="false">Spec_Rack!E10</f>
        <v>140</v>
      </c>
      <c r="M81" s="28" t="s">
        <v>608</v>
      </c>
      <c r="N81" s="19" t="s">
        <v>4035</v>
      </c>
      <c r="O81" s="19" t="s">
        <v>4036</v>
      </c>
      <c r="P81" s="222" t="s">
        <v>1138</v>
      </c>
      <c r="Q81" s="46" t="n">
        <f aca="false">Spec_Rack!E9</f>
        <v>136</v>
      </c>
      <c r="R81" s="175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3839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1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4037</v>
      </c>
      <c r="B82" s="222" t="s">
        <v>3833</v>
      </c>
      <c r="C82" s="28" t="s">
        <v>3997</v>
      </c>
      <c r="D82" s="28" t="s">
        <v>3850</v>
      </c>
      <c r="E82" s="19" t="s">
        <v>184</v>
      </c>
      <c r="F82" s="222" t="s">
        <v>319</v>
      </c>
      <c r="G82" s="222" t="s">
        <v>3835</v>
      </c>
      <c r="H82" s="28" t="s">
        <v>4038</v>
      </c>
      <c r="I82" s="19" t="s">
        <v>3870</v>
      </c>
      <c r="J82" s="28" t="s">
        <v>608</v>
      </c>
      <c r="K82" s="222"/>
      <c r="L82" s="222"/>
      <c r="M82" s="28" t="s">
        <v>608</v>
      </c>
      <c r="N82" s="19" t="s">
        <v>3973</v>
      </c>
      <c r="O82" s="6" t="s">
        <v>608</v>
      </c>
      <c r="P82" s="222" t="s">
        <v>1138</v>
      </c>
      <c r="Q82" s="46" t="n">
        <f aca="false">Spec_Rack!F9</f>
        <v>227</v>
      </c>
      <c r="R82" s="175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3872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1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4039</v>
      </c>
      <c r="B83" s="222" t="s">
        <v>3833</v>
      </c>
      <c r="C83" s="28" t="s">
        <v>3997</v>
      </c>
      <c r="D83" s="28" t="s">
        <v>4040</v>
      </c>
      <c r="E83" s="19" t="s">
        <v>184</v>
      </c>
      <c r="F83" s="222" t="s">
        <v>141</v>
      </c>
      <c r="G83" s="222" t="s">
        <v>79</v>
      </c>
      <c r="H83" s="28" t="s">
        <v>608</v>
      </c>
      <c r="I83" s="19" t="s">
        <v>4041</v>
      </c>
      <c r="J83" s="28" t="s">
        <v>608</v>
      </c>
      <c r="K83" s="225" t="n">
        <f aca="false">Spec_Rack!G8</f>
        <v>300</v>
      </c>
      <c r="L83" s="225" t="n">
        <f aca="false">Spec_Rack!G10</f>
        <v>454</v>
      </c>
      <c r="M83" s="28" t="s">
        <v>608</v>
      </c>
      <c r="N83" s="19" t="s">
        <v>4042</v>
      </c>
      <c r="O83" s="19" t="s">
        <v>4043</v>
      </c>
      <c r="P83" s="222" t="s">
        <v>1138</v>
      </c>
      <c r="Q83" s="46" t="n">
        <f aca="false">Spec_Rack!G9</f>
        <v>340</v>
      </c>
      <c r="R83" s="28" t="s">
        <v>608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3839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1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4044</v>
      </c>
      <c r="B84" s="222" t="s">
        <v>3833</v>
      </c>
      <c r="C84" s="28" t="s">
        <v>3997</v>
      </c>
      <c r="D84" s="28" t="s">
        <v>4045</v>
      </c>
      <c r="E84" s="19" t="s">
        <v>185</v>
      </c>
      <c r="F84" s="28" t="s">
        <v>94</v>
      </c>
      <c r="G84" s="222" t="s">
        <v>1138</v>
      </c>
      <c r="H84" s="28" t="s">
        <v>608</v>
      </c>
      <c r="I84" s="6" t="s">
        <v>608</v>
      </c>
      <c r="J84" s="28" t="s">
        <v>608</v>
      </c>
      <c r="K84" s="222"/>
      <c r="L84" s="222"/>
      <c r="M84" s="28" t="s">
        <v>608</v>
      </c>
      <c r="N84" s="6" t="s">
        <v>4046</v>
      </c>
      <c r="O84" s="6" t="s">
        <v>608</v>
      </c>
      <c r="P84" s="222" t="s">
        <v>3838</v>
      </c>
      <c r="Q84" s="46" t="n">
        <f aca="false">Spec_Rack!C10</f>
        <v>44</v>
      </c>
      <c r="R84" s="28" t="s">
        <v>608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3839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1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4047</v>
      </c>
      <c r="B85" s="222" t="s">
        <v>3833</v>
      </c>
      <c r="C85" s="28" t="s">
        <v>3997</v>
      </c>
      <c r="D85" s="28" t="s">
        <v>3853</v>
      </c>
      <c r="E85" s="19" t="s">
        <v>185</v>
      </c>
      <c r="F85" s="28" t="s">
        <v>94</v>
      </c>
      <c r="G85" s="222" t="s">
        <v>1138</v>
      </c>
      <c r="H85" s="28" t="s">
        <v>608</v>
      </c>
      <c r="I85" s="6" t="s">
        <v>608</v>
      </c>
      <c r="J85" s="28" t="s">
        <v>608</v>
      </c>
      <c r="K85" s="222"/>
      <c r="L85" s="222"/>
      <c r="M85" s="28" t="s">
        <v>608</v>
      </c>
      <c r="N85" s="6" t="s">
        <v>4048</v>
      </c>
      <c r="O85" s="6" t="s">
        <v>608</v>
      </c>
      <c r="P85" s="222" t="s">
        <v>3838</v>
      </c>
      <c r="Q85" s="46" t="n">
        <f aca="false">Spec_Rack!D10</f>
        <v>140</v>
      </c>
      <c r="R85" s="28" t="s">
        <v>608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3839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1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4049</v>
      </c>
      <c r="B86" s="222" t="s">
        <v>3833</v>
      </c>
      <c r="C86" s="28" t="s">
        <v>3997</v>
      </c>
      <c r="D86" s="28" t="s">
        <v>3698</v>
      </c>
      <c r="E86" s="19" t="s">
        <v>185</v>
      </c>
      <c r="F86" s="222" t="s">
        <v>319</v>
      </c>
      <c r="G86" s="222" t="s">
        <v>3835</v>
      </c>
      <c r="H86" s="28" t="s">
        <v>4017</v>
      </c>
      <c r="I86" s="19" t="s">
        <v>3870</v>
      </c>
      <c r="J86" s="28" t="s">
        <v>608</v>
      </c>
      <c r="K86" s="222"/>
      <c r="L86" s="222"/>
      <c r="M86" s="28" t="s">
        <v>608</v>
      </c>
      <c r="N86" s="19" t="s">
        <v>3973</v>
      </c>
      <c r="O86" s="6" t="s">
        <v>608</v>
      </c>
      <c r="P86" s="222" t="s">
        <v>3838</v>
      </c>
      <c r="Q86" s="46" t="n">
        <f aca="false">Spec_Rack!E10</f>
        <v>140</v>
      </c>
      <c r="R86" s="175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3872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1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4050</v>
      </c>
      <c r="B87" s="222" t="s">
        <v>3833</v>
      </c>
      <c r="C87" s="28" t="s">
        <v>3997</v>
      </c>
      <c r="D87" s="28" t="s">
        <v>3855</v>
      </c>
      <c r="E87" s="19" t="s">
        <v>185</v>
      </c>
      <c r="F87" s="222" t="s">
        <v>319</v>
      </c>
      <c r="G87" s="222" t="s">
        <v>3835</v>
      </c>
      <c r="H87" s="28" t="s">
        <v>4051</v>
      </c>
      <c r="I87" s="19" t="s">
        <v>3870</v>
      </c>
      <c r="J87" s="28" t="s">
        <v>608</v>
      </c>
      <c r="K87" s="222"/>
      <c r="L87" s="222"/>
      <c r="M87" s="28" t="s">
        <v>608</v>
      </c>
      <c r="N87" s="19" t="s">
        <v>3973</v>
      </c>
      <c r="O87" s="6" t="s">
        <v>608</v>
      </c>
      <c r="P87" s="222" t="s">
        <v>3838</v>
      </c>
      <c r="Q87" s="46" t="n">
        <f aca="false">Spec_Rack!F10</f>
        <v>230</v>
      </c>
      <c r="R87" s="175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3872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1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4052</v>
      </c>
      <c r="B88" s="222" t="s">
        <v>3833</v>
      </c>
      <c r="C88" s="28" t="s">
        <v>3997</v>
      </c>
      <c r="D88" s="28" t="s">
        <v>4053</v>
      </c>
      <c r="E88" s="19" t="s">
        <v>185</v>
      </c>
      <c r="F88" s="28" t="s">
        <v>141</v>
      </c>
      <c r="G88" s="222" t="s">
        <v>1138</v>
      </c>
      <c r="H88" s="28" t="s">
        <v>608</v>
      </c>
      <c r="I88" s="6" t="s">
        <v>608</v>
      </c>
      <c r="J88" s="28" t="s">
        <v>608</v>
      </c>
      <c r="K88" s="222"/>
      <c r="L88" s="222"/>
      <c r="M88" s="28" t="s">
        <v>608</v>
      </c>
      <c r="N88" s="6" t="s">
        <v>4054</v>
      </c>
      <c r="O88" s="6" t="s">
        <v>608</v>
      </c>
      <c r="P88" s="222" t="s">
        <v>3838</v>
      </c>
      <c r="Q88" s="46" t="n">
        <f aca="false">Spec_Rack!G10</f>
        <v>454</v>
      </c>
      <c r="R88" s="28" t="s">
        <v>608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3839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1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4055</v>
      </c>
      <c r="B89" s="222" t="s">
        <v>3833</v>
      </c>
      <c r="C89" s="28" t="s">
        <v>3997</v>
      </c>
      <c r="D89" s="28" t="s">
        <v>4056</v>
      </c>
      <c r="E89" s="19" t="s">
        <v>186</v>
      </c>
      <c r="F89" s="222" t="s">
        <v>4026</v>
      </c>
      <c r="G89" s="222" t="s">
        <v>1137</v>
      </c>
      <c r="H89" s="28" t="s">
        <v>4057</v>
      </c>
      <c r="I89" s="19" t="s">
        <v>4058</v>
      </c>
      <c r="J89" s="28" t="s">
        <v>608</v>
      </c>
      <c r="K89" s="222"/>
      <c r="L89" s="222"/>
      <c r="M89" s="28" t="s">
        <v>608</v>
      </c>
      <c r="N89" s="19" t="s">
        <v>4059</v>
      </c>
      <c r="O89" s="6" t="s">
        <v>608</v>
      </c>
      <c r="P89" s="222" t="s">
        <v>3838</v>
      </c>
      <c r="Q89" s="186" t="n">
        <f aca="false">Spec_Rack!C11</f>
        <v>0.9</v>
      </c>
      <c r="R89" s="175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3839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1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4060</v>
      </c>
      <c r="B90" s="222" t="s">
        <v>3833</v>
      </c>
      <c r="C90" s="28" t="s">
        <v>3997</v>
      </c>
      <c r="D90" s="28" t="s">
        <v>3860</v>
      </c>
      <c r="E90" s="19" t="s">
        <v>186</v>
      </c>
      <c r="F90" s="222" t="s">
        <v>319</v>
      </c>
      <c r="G90" s="222" t="s">
        <v>3835</v>
      </c>
      <c r="H90" s="28" t="s">
        <v>4061</v>
      </c>
      <c r="I90" s="19" t="s">
        <v>3870</v>
      </c>
      <c r="J90" s="28" t="s">
        <v>608</v>
      </c>
      <c r="K90" s="222"/>
      <c r="L90" s="222"/>
      <c r="M90" s="28" t="s">
        <v>608</v>
      </c>
      <c r="N90" s="19" t="s">
        <v>4062</v>
      </c>
      <c r="O90" s="6" t="s">
        <v>608</v>
      </c>
      <c r="P90" s="222" t="s">
        <v>3838</v>
      </c>
      <c r="Q90" s="186" t="n">
        <f aca="false">Spec_Rack!D11</f>
        <v>2.8</v>
      </c>
      <c r="R90" s="175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3872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1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4063</v>
      </c>
      <c r="B91" s="222" t="s">
        <v>3833</v>
      </c>
      <c r="C91" s="28" t="s">
        <v>3997</v>
      </c>
      <c r="D91" s="28" t="s">
        <v>3701</v>
      </c>
      <c r="E91" s="19" t="s">
        <v>186</v>
      </c>
      <c r="F91" s="222" t="s">
        <v>319</v>
      </c>
      <c r="G91" s="222" t="s">
        <v>3835</v>
      </c>
      <c r="H91" s="28" t="s">
        <v>4064</v>
      </c>
      <c r="I91" s="19" t="s">
        <v>3870</v>
      </c>
      <c r="J91" s="28" t="s">
        <v>4065</v>
      </c>
      <c r="K91" s="222"/>
      <c r="L91" s="222"/>
      <c r="M91" s="28" t="s">
        <v>608</v>
      </c>
      <c r="N91" s="19" t="s">
        <v>4066</v>
      </c>
      <c r="O91" s="6" t="s">
        <v>608</v>
      </c>
      <c r="P91" s="222" t="s">
        <v>3838</v>
      </c>
      <c r="Q91" s="186" t="n">
        <f aca="false">Spec_Rack!E11</f>
        <v>4</v>
      </c>
      <c r="R91" s="175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3872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1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4067</v>
      </c>
      <c r="B92" s="222" t="s">
        <v>3833</v>
      </c>
      <c r="C92" s="28" t="s">
        <v>3997</v>
      </c>
      <c r="D92" s="28" t="s">
        <v>3862</v>
      </c>
      <c r="E92" s="19" t="s">
        <v>186</v>
      </c>
      <c r="F92" s="222" t="s">
        <v>141</v>
      </c>
      <c r="G92" s="222" t="s">
        <v>1137</v>
      </c>
      <c r="H92" s="28" t="s">
        <v>4068</v>
      </c>
      <c r="I92" s="19" t="s">
        <v>4069</v>
      </c>
      <c r="J92" s="28" t="s">
        <v>608</v>
      </c>
      <c r="K92" s="222"/>
      <c r="L92" s="222"/>
      <c r="M92" s="28" t="s">
        <v>608</v>
      </c>
      <c r="N92" s="19" t="s">
        <v>4070</v>
      </c>
      <c r="O92" s="19" t="s">
        <v>4071</v>
      </c>
      <c r="P92" s="222" t="s">
        <v>3838</v>
      </c>
      <c r="Q92" s="186" t="n">
        <f aca="false">Spec_Rack!F11</f>
        <v>7.8</v>
      </c>
      <c r="R92" s="175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3839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1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4072</v>
      </c>
      <c r="B93" s="222" t="s">
        <v>3833</v>
      </c>
      <c r="C93" s="28" t="s">
        <v>3997</v>
      </c>
      <c r="D93" s="28" t="s">
        <v>4073</v>
      </c>
      <c r="E93" s="19" t="s">
        <v>186</v>
      </c>
      <c r="F93" s="28" t="s">
        <v>94</v>
      </c>
      <c r="G93" s="222" t="s">
        <v>1137</v>
      </c>
      <c r="H93" s="28" t="s">
        <v>608</v>
      </c>
      <c r="I93" s="6" t="s">
        <v>608</v>
      </c>
      <c r="J93" s="28" t="s">
        <v>608</v>
      </c>
      <c r="K93" s="222"/>
      <c r="L93" s="222"/>
      <c r="M93" s="28" t="s">
        <v>608</v>
      </c>
      <c r="N93" s="6" t="s">
        <v>4074</v>
      </c>
      <c r="O93" s="6" t="s">
        <v>4075</v>
      </c>
      <c r="P93" s="222" t="s">
        <v>3838</v>
      </c>
      <c r="Q93" s="186" t="n">
        <f aca="false">Spec_Rack!G11</f>
        <v>12.6</v>
      </c>
      <c r="R93" s="28" t="s">
        <v>608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3931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1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4076</v>
      </c>
      <c r="B94" s="222" t="s">
        <v>3833</v>
      </c>
      <c r="C94" s="28" t="s">
        <v>3997</v>
      </c>
      <c r="D94" s="28" t="s">
        <v>4077</v>
      </c>
      <c r="E94" s="19" t="s">
        <v>187</v>
      </c>
      <c r="F94" s="222" t="s">
        <v>4026</v>
      </c>
      <c r="G94" s="222" t="s">
        <v>79</v>
      </c>
      <c r="H94" s="28" t="s">
        <v>4057</v>
      </c>
      <c r="I94" s="19" t="s">
        <v>4078</v>
      </c>
      <c r="J94" s="28" t="s">
        <v>608</v>
      </c>
      <c r="K94" s="186" t="n">
        <f aca="false">Spec_Rack!C11</f>
        <v>0.9</v>
      </c>
      <c r="L94" s="186" t="n">
        <f aca="false">Spec_Rack!C13</f>
        <v>1.3</v>
      </c>
      <c r="M94" s="28" t="s">
        <v>608</v>
      </c>
      <c r="N94" s="19" t="s">
        <v>4079</v>
      </c>
      <c r="O94" s="6" t="s">
        <v>608</v>
      </c>
      <c r="P94" s="222" t="s">
        <v>1138</v>
      </c>
      <c r="Q94" s="186" t="n">
        <f aca="false">Spec_Rack!C12</f>
        <v>1.1</v>
      </c>
      <c r="R94" s="175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3839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1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4080</v>
      </c>
      <c r="B95" s="222" t="s">
        <v>3833</v>
      </c>
      <c r="C95" s="28" t="s">
        <v>3997</v>
      </c>
      <c r="D95" s="28" t="s">
        <v>4081</v>
      </c>
      <c r="E95" s="19" t="s">
        <v>187</v>
      </c>
      <c r="F95" s="222" t="s">
        <v>4026</v>
      </c>
      <c r="G95" s="222" t="s">
        <v>79</v>
      </c>
      <c r="H95" s="28" t="s">
        <v>4061</v>
      </c>
      <c r="I95" s="19" t="s">
        <v>4082</v>
      </c>
      <c r="J95" s="28" t="s">
        <v>608</v>
      </c>
      <c r="K95" s="186" t="n">
        <f aca="false">Spec_Rack!D11</f>
        <v>2.8</v>
      </c>
      <c r="L95" s="186" t="n">
        <f aca="false">Spec_Rack!D13</f>
        <v>3.4</v>
      </c>
      <c r="M95" s="28" t="s">
        <v>608</v>
      </c>
      <c r="N95" s="19" t="s">
        <v>4083</v>
      </c>
      <c r="O95" s="6" t="s">
        <v>608</v>
      </c>
      <c r="P95" s="222" t="s">
        <v>1138</v>
      </c>
      <c r="Q95" s="186" t="n">
        <f aca="false">Spec_Rack!D12</f>
        <v>3.1</v>
      </c>
      <c r="R95" s="175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3839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1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4084</v>
      </c>
      <c r="B96" s="222" t="s">
        <v>3833</v>
      </c>
      <c r="C96" s="28" t="s">
        <v>3997</v>
      </c>
      <c r="D96" s="28" t="s">
        <v>3704</v>
      </c>
      <c r="E96" s="19" t="s">
        <v>187</v>
      </c>
      <c r="F96" s="222" t="s">
        <v>141</v>
      </c>
      <c r="G96" s="222" t="s">
        <v>79</v>
      </c>
      <c r="H96" s="28" t="s">
        <v>4064</v>
      </c>
      <c r="I96" s="19" t="s">
        <v>4085</v>
      </c>
      <c r="J96" s="28" t="s">
        <v>4065</v>
      </c>
      <c r="K96" s="186" t="n">
        <f aca="false">Spec_Rack!E11</f>
        <v>4</v>
      </c>
      <c r="L96" s="186" t="n">
        <f aca="false">Spec_Rack!E13</f>
        <v>5</v>
      </c>
      <c r="M96" s="28" t="s">
        <v>608</v>
      </c>
      <c r="N96" s="19" t="s">
        <v>4086</v>
      </c>
      <c r="O96" s="226" t="s">
        <v>4087</v>
      </c>
      <c r="P96" s="222" t="s">
        <v>1138</v>
      </c>
      <c r="Q96" s="186" t="n">
        <f aca="false">Spec_Rack!E12</f>
        <v>4.3</v>
      </c>
      <c r="R96" s="175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3839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1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4088</v>
      </c>
      <c r="B97" s="222" t="s">
        <v>3833</v>
      </c>
      <c r="C97" s="28" t="s">
        <v>3997</v>
      </c>
      <c r="D97" s="28" t="s">
        <v>4089</v>
      </c>
      <c r="E97" s="19" t="s">
        <v>187</v>
      </c>
      <c r="F97" s="222" t="s">
        <v>141</v>
      </c>
      <c r="G97" s="222" t="s">
        <v>79</v>
      </c>
      <c r="H97" s="28" t="s">
        <v>4068</v>
      </c>
      <c r="I97" s="19" t="s">
        <v>4090</v>
      </c>
      <c r="J97" s="28" t="s">
        <v>608</v>
      </c>
      <c r="K97" s="227" t="n">
        <f aca="false">Spec_Rack!F11</f>
        <v>7.8</v>
      </c>
      <c r="L97" s="227" t="n">
        <f aca="false">Spec_Rack!F13</f>
        <v>9.1</v>
      </c>
      <c r="M97" s="28" t="s">
        <v>608</v>
      </c>
      <c r="N97" s="19" t="s">
        <v>4091</v>
      </c>
      <c r="O97" s="19" t="s">
        <v>4092</v>
      </c>
      <c r="P97" s="222" t="s">
        <v>1138</v>
      </c>
      <c r="Q97" s="186" t="n">
        <f aca="false">Spec_Rack!F12</f>
        <v>8.4</v>
      </c>
      <c r="R97" s="175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3839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1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4093</v>
      </c>
      <c r="B98" s="222" t="s">
        <v>3833</v>
      </c>
      <c r="C98" s="28" t="s">
        <v>3997</v>
      </c>
      <c r="D98" s="28" t="s">
        <v>4094</v>
      </c>
      <c r="E98" s="19" t="s">
        <v>187</v>
      </c>
      <c r="F98" s="28" t="s">
        <v>94</v>
      </c>
      <c r="G98" s="222" t="s">
        <v>79</v>
      </c>
      <c r="H98" s="28" t="s">
        <v>608</v>
      </c>
      <c r="I98" s="6" t="s">
        <v>608</v>
      </c>
      <c r="J98" s="28" t="s">
        <v>608</v>
      </c>
      <c r="K98" s="186" t="n">
        <f aca="false">Spec_Rack!G11</f>
        <v>12.6</v>
      </c>
      <c r="L98" s="186" t="n">
        <f aca="false">Spec_Rack!G13</f>
        <v>21</v>
      </c>
      <c r="M98" s="28" t="s">
        <v>608</v>
      </c>
      <c r="N98" s="6" t="s">
        <v>4095</v>
      </c>
      <c r="O98" s="6" t="s">
        <v>4075</v>
      </c>
      <c r="P98" s="222" t="s">
        <v>1138</v>
      </c>
      <c r="Q98" s="186" t="n">
        <f aca="false">Spec_Rack!G12</f>
        <v>16.8</v>
      </c>
      <c r="R98" s="28" t="s">
        <v>608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3931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1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4096</v>
      </c>
      <c r="B99" s="222" t="s">
        <v>3833</v>
      </c>
      <c r="C99" s="28" t="s">
        <v>3997</v>
      </c>
      <c r="D99" s="28" t="s">
        <v>4097</v>
      </c>
      <c r="E99" s="19" t="s">
        <v>188</v>
      </c>
      <c r="F99" s="222" t="s">
        <v>4026</v>
      </c>
      <c r="G99" s="222" t="s">
        <v>1138</v>
      </c>
      <c r="H99" s="28" t="s">
        <v>4057</v>
      </c>
      <c r="I99" s="19" t="s">
        <v>4098</v>
      </c>
      <c r="J99" s="28" t="s">
        <v>608</v>
      </c>
      <c r="K99" s="222"/>
      <c r="L99" s="222"/>
      <c r="M99" s="28" t="s">
        <v>608</v>
      </c>
      <c r="N99" s="19" t="s">
        <v>4099</v>
      </c>
      <c r="O99" s="6" t="s">
        <v>608</v>
      </c>
      <c r="P99" s="222" t="s">
        <v>3838</v>
      </c>
      <c r="Q99" s="186" t="n">
        <f aca="false">Spec_Rack!C13</f>
        <v>1.3</v>
      </c>
      <c r="R99" s="175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3839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1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4100</v>
      </c>
      <c r="B100" s="222" t="s">
        <v>3833</v>
      </c>
      <c r="C100" s="28" t="s">
        <v>3997</v>
      </c>
      <c r="D100" s="28" t="s">
        <v>3866</v>
      </c>
      <c r="E100" s="19" t="s">
        <v>188</v>
      </c>
      <c r="F100" s="222" t="s">
        <v>319</v>
      </c>
      <c r="G100" s="222" t="s">
        <v>3835</v>
      </c>
      <c r="H100" s="28" t="s">
        <v>4061</v>
      </c>
      <c r="I100" s="19" t="s">
        <v>3870</v>
      </c>
      <c r="J100" s="28" t="s">
        <v>608</v>
      </c>
      <c r="K100" s="222"/>
      <c r="L100" s="222"/>
      <c r="M100" s="28" t="s">
        <v>608</v>
      </c>
      <c r="N100" s="19" t="s">
        <v>4062</v>
      </c>
      <c r="O100" s="6" t="s">
        <v>608</v>
      </c>
      <c r="P100" s="222" t="s">
        <v>3838</v>
      </c>
      <c r="Q100" s="186" t="n">
        <f aca="false">Spec_Rack!D13</f>
        <v>3.4</v>
      </c>
      <c r="R100" s="175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3872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1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4101</v>
      </c>
      <c r="B101" s="222" t="s">
        <v>3833</v>
      </c>
      <c r="C101" s="28" t="s">
        <v>3997</v>
      </c>
      <c r="D101" s="28" t="s">
        <v>3706</v>
      </c>
      <c r="E101" s="19" t="s">
        <v>188</v>
      </c>
      <c r="F101" s="222" t="s">
        <v>319</v>
      </c>
      <c r="G101" s="222" t="s">
        <v>3835</v>
      </c>
      <c r="H101" s="28" t="s">
        <v>4102</v>
      </c>
      <c r="I101" s="19" t="s">
        <v>3870</v>
      </c>
      <c r="J101" s="28" t="s">
        <v>4065</v>
      </c>
      <c r="K101" s="222"/>
      <c r="L101" s="222"/>
      <c r="M101" s="28" t="s">
        <v>608</v>
      </c>
      <c r="N101" s="19" t="s">
        <v>4103</v>
      </c>
      <c r="O101" s="6" t="s">
        <v>608</v>
      </c>
      <c r="P101" s="222" t="s">
        <v>3838</v>
      </c>
      <c r="Q101" s="186" t="n">
        <f aca="false">Spec_Rack!E13</f>
        <v>5</v>
      </c>
      <c r="R101" s="175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3872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1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4104</v>
      </c>
      <c r="B102" s="222" t="s">
        <v>3833</v>
      </c>
      <c r="C102" s="28" t="s">
        <v>3997</v>
      </c>
      <c r="D102" s="28" t="s">
        <v>3868</v>
      </c>
      <c r="E102" s="19" t="s">
        <v>188</v>
      </c>
      <c r="F102" s="222" t="s">
        <v>4026</v>
      </c>
      <c r="G102" s="222" t="s">
        <v>1138</v>
      </c>
      <c r="H102" s="28" t="s">
        <v>4105</v>
      </c>
      <c r="I102" s="19" t="s">
        <v>4106</v>
      </c>
      <c r="J102" s="28" t="s">
        <v>608</v>
      </c>
      <c r="K102" s="222"/>
      <c r="L102" s="222"/>
      <c r="M102" s="28" t="s">
        <v>608</v>
      </c>
      <c r="N102" s="19" t="s">
        <v>4107</v>
      </c>
      <c r="O102" s="6" t="s">
        <v>608</v>
      </c>
      <c r="P102" s="222" t="s">
        <v>3838</v>
      </c>
      <c r="Q102" s="186" t="n">
        <f aca="false">Spec_Rack!F13</f>
        <v>9.1</v>
      </c>
      <c r="R102" s="175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3839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1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4108</v>
      </c>
      <c r="B103" s="222" t="s">
        <v>3833</v>
      </c>
      <c r="C103" s="28" t="s">
        <v>3997</v>
      </c>
      <c r="D103" s="28" t="s">
        <v>4109</v>
      </c>
      <c r="E103" s="19" t="s">
        <v>188</v>
      </c>
      <c r="F103" s="28" t="s">
        <v>94</v>
      </c>
      <c r="G103" s="222" t="s">
        <v>1138</v>
      </c>
      <c r="H103" s="28" t="s">
        <v>608</v>
      </c>
      <c r="I103" s="6" t="s">
        <v>608</v>
      </c>
      <c r="J103" s="28" t="s">
        <v>608</v>
      </c>
      <c r="K103" s="222"/>
      <c r="L103" s="222"/>
      <c r="M103" s="28" t="s">
        <v>608</v>
      </c>
      <c r="N103" s="6" t="s">
        <v>4110</v>
      </c>
      <c r="O103" s="6" t="s">
        <v>4075</v>
      </c>
      <c r="P103" s="222" t="s">
        <v>3838</v>
      </c>
      <c r="Q103" s="186" t="n">
        <f aca="false">Spec_Rack!G13</f>
        <v>21</v>
      </c>
      <c r="R103" s="28" t="s">
        <v>608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3931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1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4111</v>
      </c>
      <c r="B104" s="222" t="s">
        <v>3833</v>
      </c>
      <c r="C104" s="28" t="s">
        <v>3997</v>
      </c>
      <c r="D104" s="28" t="s">
        <v>4112</v>
      </c>
      <c r="E104" s="19" t="s">
        <v>4113</v>
      </c>
      <c r="F104" s="222" t="s">
        <v>319</v>
      </c>
      <c r="G104" s="222" t="s">
        <v>3835</v>
      </c>
      <c r="H104" s="28" t="s">
        <v>4114</v>
      </c>
      <c r="I104" s="19" t="s">
        <v>3870</v>
      </c>
      <c r="J104" s="28" t="s">
        <v>608</v>
      </c>
      <c r="K104" s="222"/>
      <c r="L104" s="222"/>
      <c r="M104" s="28" t="s">
        <v>608</v>
      </c>
      <c r="N104" s="19" t="s">
        <v>4062</v>
      </c>
      <c r="O104" s="6" t="s">
        <v>608</v>
      </c>
      <c r="P104" s="222" t="s">
        <v>3894</v>
      </c>
      <c r="Q104" s="43" t="n">
        <f aca="false">Spec_Rack!C23</f>
        <v>1.979</v>
      </c>
      <c r="R104" s="175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3872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1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4115</v>
      </c>
      <c r="B105" s="222" t="s">
        <v>3833</v>
      </c>
      <c r="C105" s="28" t="s">
        <v>3997</v>
      </c>
      <c r="D105" s="28" t="s">
        <v>3970</v>
      </c>
      <c r="E105" s="19" t="s">
        <v>4113</v>
      </c>
      <c r="F105" s="222" t="s">
        <v>319</v>
      </c>
      <c r="G105" s="222" t="s">
        <v>3835</v>
      </c>
      <c r="H105" s="28" t="s">
        <v>4116</v>
      </c>
      <c r="I105" s="19" t="s">
        <v>3870</v>
      </c>
      <c r="J105" s="28" t="s">
        <v>608</v>
      </c>
      <c r="K105" s="222"/>
      <c r="L105" s="222"/>
      <c r="M105" s="28" t="s">
        <v>608</v>
      </c>
      <c r="N105" s="19" t="s">
        <v>4062</v>
      </c>
      <c r="O105" s="6" t="s">
        <v>608</v>
      </c>
      <c r="P105" s="222" t="s">
        <v>3894</v>
      </c>
      <c r="Q105" s="43" t="n">
        <f aca="false">Spec_Rack!D23</f>
        <v>10</v>
      </c>
      <c r="R105" s="175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3872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1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4117</v>
      </c>
      <c r="B106" s="222" t="s">
        <v>3833</v>
      </c>
      <c r="C106" s="28" t="s">
        <v>3997</v>
      </c>
      <c r="D106" s="28" t="s">
        <v>3975</v>
      </c>
      <c r="E106" s="19" t="s">
        <v>4113</v>
      </c>
      <c r="F106" s="222" t="s">
        <v>319</v>
      </c>
      <c r="G106" s="222" t="s">
        <v>3835</v>
      </c>
      <c r="H106" s="28" t="s">
        <v>4118</v>
      </c>
      <c r="I106" s="19" t="s">
        <v>3870</v>
      </c>
      <c r="J106" s="28" t="s">
        <v>608</v>
      </c>
      <c r="K106" s="222"/>
      <c r="L106" s="222"/>
      <c r="M106" s="28" t="s">
        <v>608</v>
      </c>
      <c r="N106" s="19" t="s">
        <v>4062</v>
      </c>
      <c r="O106" s="6" t="s">
        <v>608</v>
      </c>
      <c r="P106" s="222" t="s">
        <v>3894</v>
      </c>
      <c r="Q106" s="43" t="n">
        <f aca="false">Spec_Rack!E23</f>
        <v>15</v>
      </c>
      <c r="R106" s="175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3872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1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4119</v>
      </c>
      <c r="B107" s="222" t="s">
        <v>3833</v>
      </c>
      <c r="C107" s="28" t="s">
        <v>3997</v>
      </c>
      <c r="D107" s="28" t="s">
        <v>3977</v>
      </c>
      <c r="E107" s="19" t="s">
        <v>4113</v>
      </c>
      <c r="F107" s="222" t="s">
        <v>319</v>
      </c>
      <c r="G107" s="222" t="s">
        <v>3835</v>
      </c>
      <c r="H107" s="28" t="s">
        <v>4120</v>
      </c>
      <c r="I107" s="19" t="s">
        <v>3870</v>
      </c>
      <c r="J107" s="28" t="s">
        <v>608</v>
      </c>
      <c r="K107" s="222"/>
      <c r="L107" s="222"/>
      <c r="M107" s="28" t="s">
        <v>608</v>
      </c>
      <c r="N107" s="19" t="s">
        <v>4062</v>
      </c>
      <c r="O107" s="6" t="s">
        <v>608</v>
      </c>
      <c r="P107" s="222" t="s">
        <v>3894</v>
      </c>
      <c r="Q107" s="43" t="n">
        <f aca="false">Spec_Rack!F23</f>
        <v>35</v>
      </c>
      <c r="R107" s="175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3872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1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4121</v>
      </c>
      <c r="B108" s="222" t="s">
        <v>3833</v>
      </c>
      <c r="C108" s="28" t="s">
        <v>3997</v>
      </c>
      <c r="D108" s="28" t="s">
        <v>4122</v>
      </c>
      <c r="E108" s="19" t="s">
        <v>4113</v>
      </c>
      <c r="F108" s="28" t="s">
        <v>141</v>
      </c>
      <c r="G108" s="222" t="s">
        <v>79</v>
      </c>
      <c r="H108" s="28" t="s">
        <v>4123</v>
      </c>
      <c r="I108" s="6" t="s">
        <v>4124</v>
      </c>
      <c r="J108" s="28" t="s">
        <v>608</v>
      </c>
      <c r="K108" s="175" t="n">
        <f aca="false">Spec_Rack!G23*0.7</f>
        <v>49</v>
      </c>
      <c r="L108" s="175" t="n">
        <f aca="false">Spec_Rack!G23*1.3</f>
        <v>91</v>
      </c>
      <c r="M108" s="28" t="s">
        <v>4125</v>
      </c>
      <c r="N108" s="6" t="s">
        <v>4126</v>
      </c>
      <c r="O108" s="6" t="s">
        <v>4127</v>
      </c>
      <c r="P108" s="222" t="s">
        <v>1138</v>
      </c>
      <c r="Q108" s="43" t="n">
        <f aca="false">Spec_Rack!G23</f>
        <v>70</v>
      </c>
      <c r="R108" s="175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3839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1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4128</v>
      </c>
      <c r="B109" s="222" t="s">
        <v>3833</v>
      </c>
      <c r="C109" s="28" t="s">
        <v>3997</v>
      </c>
      <c r="D109" s="28" t="s">
        <v>4129</v>
      </c>
      <c r="E109" s="19" t="s">
        <v>4130</v>
      </c>
      <c r="F109" s="28" t="s">
        <v>3927</v>
      </c>
      <c r="G109" s="222" t="s">
        <v>3835</v>
      </c>
      <c r="H109" s="28" t="s">
        <v>608</v>
      </c>
      <c r="I109" s="6" t="s">
        <v>608</v>
      </c>
      <c r="J109" s="28" t="s">
        <v>608</v>
      </c>
      <c r="K109" s="222"/>
      <c r="L109" s="222"/>
      <c r="M109" s="28" t="s">
        <v>608</v>
      </c>
      <c r="N109" s="6" t="s">
        <v>4131</v>
      </c>
      <c r="O109" s="6" t="s">
        <v>608</v>
      </c>
      <c r="P109" s="222" t="s">
        <v>1138</v>
      </c>
      <c r="Q109" s="43" t="n">
        <f aca="false">Spec_Rack!C24</f>
        <v>1.979</v>
      </c>
      <c r="R109" s="28" t="s">
        <v>608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3931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1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4132</v>
      </c>
      <c r="B110" s="222" t="s">
        <v>3833</v>
      </c>
      <c r="C110" s="28" t="s">
        <v>3997</v>
      </c>
      <c r="D110" s="28" t="s">
        <v>4133</v>
      </c>
      <c r="E110" s="19" t="s">
        <v>4130</v>
      </c>
      <c r="F110" s="222" t="s">
        <v>319</v>
      </c>
      <c r="G110" s="222" t="s">
        <v>3835</v>
      </c>
      <c r="H110" s="28" t="s">
        <v>4116</v>
      </c>
      <c r="I110" s="19" t="s">
        <v>3870</v>
      </c>
      <c r="J110" s="28" t="s">
        <v>608</v>
      </c>
      <c r="K110" s="222"/>
      <c r="L110" s="222"/>
      <c r="M110" s="28" t="s">
        <v>608</v>
      </c>
      <c r="N110" s="19" t="s">
        <v>3973</v>
      </c>
      <c r="O110" s="6" t="s">
        <v>608</v>
      </c>
      <c r="P110" s="222" t="s">
        <v>1138</v>
      </c>
      <c r="Q110" s="43" t="n">
        <f aca="false">Spec_Rack!D24</f>
        <v>10</v>
      </c>
      <c r="R110" s="175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3872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1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4134</v>
      </c>
      <c r="B111" s="222" t="s">
        <v>3833</v>
      </c>
      <c r="C111" s="28" t="s">
        <v>3997</v>
      </c>
      <c r="D111" s="28" t="s">
        <v>3980</v>
      </c>
      <c r="E111" s="19" t="s">
        <v>4130</v>
      </c>
      <c r="F111" s="222" t="s">
        <v>319</v>
      </c>
      <c r="G111" s="222" t="s">
        <v>3835</v>
      </c>
      <c r="H111" s="28" t="s">
        <v>4118</v>
      </c>
      <c r="I111" s="19" t="s">
        <v>3870</v>
      </c>
      <c r="J111" s="28" t="s">
        <v>608</v>
      </c>
      <c r="K111" s="222"/>
      <c r="L111" s="222"/>
      <c r="M111" s="28" t="s">
        <v>608</v>
      </c>
      <c r="N111" s="19" t="s">
        <v>3973</v>
      </c>
      <c r="O111" s="6" t="s">
        <v>608</v>
      </c>
      <c r="P111" s="222" t="s">
        <v>1138</v>
      </c>
      <c r="Q111" s="43" t="n">
        <f aca="false">Spec_Rack!E24</f>
        <v>15</v>
      </c>
      <c r="R111" s="175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3872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1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4135</v>
      </c>
      <c r="B112" s="222" t="s">
        <v>3833</v>
      </c>
      <c r="C112" s="28" t="s">
        <v>3997</v>
      </c>
      <c r="D112" s="28" t="s">
        <v>4136</v>
      </c>
      <c r="E112" s="19" t="s">
        <v>4130</v>
      </c>
      <c r="F112" s="222" t="s">
        <v>319</v>
      </c>
      <c r="G112" s="222" t="s">
        <v>3835</v>
      </c>
      <c r="H112" s="28" t="s">
        <v>4137</v>
      </c>
      <c r="I112" s="19" t="s">
        <v>3870</v>
      </c>
      <c r="J112" s="28" t="s">
        <v>608</v>
      </c>
      <c r="K112" s="222"/>
      <c r="L112" s="222"/>
      <c r="M112" s="28" t="s">
        <v>608</v>
      </c>
      <c r="N112" s="19" t="s">
        <v>3973</v>
      </c>
      <c r="O112" s="6" t="s">
        <v>608</v>
      </c>
      <c r="P112" s="222" t="s">
        <v>1138</v>
      </c>
      <c r="Q112" s="43" t="n">
        <f aca="false">Spec_Rack!F24</f>
        <v>50</v>
      </c>
      <c r="R112" s="175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3872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1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4138</v>
      </c>
      <c r="B113" s="222" t="s">
        <v>3833</v>
      </c>
      <c r="C113" s="28" t="s">
        <v>3997</v>
      </c>
      <c r="D113" s="28" t="s">
        <v>4139</v>
      </c>
      <c r="E113" s="19" t="s">
        <v>4130</v>
      </c>
      <c r="F113" s="222" t="s">
        <v>141</v>
      </c>
      <c r="G113" s="222" t="s">
        <v>3835</v>
      </c>
      <c r="H113" s="28" t="s">
        <v>4123</v>
      </c>
      <c r="I113" s="19" t="s">
        <v>4140</v>
      </c>
      <c r="J113" s="28" t="s">
        <v>608</v>
      </c>
      <c r="K113" s="222"/>
      <c r="L113" s="222"/>
      <c r="M113" s="28" t="s">
        <v>608</v>
      </c>
      <c r="N113" s="19" t="s">
        <v>4141</v>
      </c>
      <c r="O113" s="19" t="s">
        <v>4142</v>
      </c>
      <c r="P113" s="222" t="s">
        <v>1138</v>
      </c>
      <c r="Q113" s="43" t="n">
        <f aca="false">Spec_Rack!G24</f>
        <v>100</v>
      </c>
      <c r="R113" s="175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3839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1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4143</v>
      </c>
      <c r="B114" s="222" t="s">
        <v>3833</v>
      </c>
      <c r="C114" s="28" t="s">
        <v>3997</v>
      </c>
      <c r="D114" s="28" t="s">
        <v>4144</v>
      </c>
      <c r="E114" s="6" t="s">
        <v>219</v>
      </c>
      <c r="F114" s="222" t="s">
        <v>319</v>
      </c>
      <c r="G114" s="222" t="s">
        <v>3835</v>
      </c>
      <c r="H114" s="28" t="s">
        <v>4145</v>
      </c>
      <c r="I114" s="19" t="s">
        <v>3870</v>
      </c>
      <c r="J114" s="28" t="s">
        <v>608</v>
      </c>
      <c r="K114" s="222"/>
      <c r="L114" s="222"/>
      <c r="M114" s="28" t="s">
        <v>608</v>
      </c>
      <c r="N114" s="19" t="s">
        <v>4062</v>
      </c>
      <c r="O114" s="6" t="s">
        <v>608</v>
      </c>
      <c r="P114" s="222" t="s">
        <v>3894</v>
      </c>
      <c r="Q114" s="46" t="n">
        <f aca="false">Spec_Rack!C25</f>
        <v>80</v>
      </c>
      <c r="R114" s="175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3872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1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4146</v>
      </c>
      <c r="B115" s="222" t="s">
        <v>3833</v>
      </c>
      <c r="C115" s="28" t="s">
        <v>3997</v>
      </c>
      <c r="D115" s="28" t="s">
        <v>4147</v>
      </c>
      <c r="E115" s="6" t="s">
        <v>219</v>
      </c>
      <c r="F115" s="222" t="s">
        <v>4026</v>
      </c>
      <c r="G115" s="222" t="s">
        <v>3835</v>
      </c>
      <c r="H115" s="28" t="s">
        <v>4148</v>
      </c>
      <c r="I115" s="19" t="s">
        <v>4149</v>
      </c>
      <c r="J115" s="28" t="s">
        <v>608</v>
      </c>
      <c r="K115" s="222"/>
      <c r="L115" s="222"/>
      <c r="M115" s="28" t="s">
        <v>608</v>
      </c>
      <c r="N115" s="19" t="s">
        <v>4150</v>
      </c>
      <c r="O115" s="6" t="s">
        <v>608</v>
      </c>
      <c r="P115" s="222" t="s">
        <v>3894</v>
      </c>
      <c r="Q115" s="46" t="n">
        <f aca="false">Spec_Rack!D25</f>
        <v>186</v>
      </c>
      <c r="R115" s="175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3839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1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4151</v>
      </c>
      <c r="B116" s="222" t="s">
        <v>3833</v>
      </c>
      <c r="C116" s="28" t="s">
        <v>3997</v>
      </c>
      <c r="D116" s="28" t="s">
        <v>3985</v>
      </c>
      <c r="E116" s="6" t="s">
        <v>219</v>
      </c>
      <c r="F116" s="222" t="s">
        <v>319</v>
      </c>
      <c r="G116" s="222" t="s">
        <v>3835</v>
      </c>
      <c r="H116" s="28" t="s">
        <v>4152</v>
      </c>
      <c r="I116" s="19" t="s">
        <v>3870</v>
      </c>
      <c r="J116" s="28" t="s">
        <v>608</v>
      </c>
      <c r="K116" s="222"/>
      <c r="L116" s="222"/>
      <c r="M116" s="28" t="s">
        <v>608</v>
      </c>
      <c r="N116" s="19" t="s">
        <v>4062</v>
      </c>
      <c r="O116" s="6" t="s">
        <v>608</v>
      </c>
      <c r="P116" s="222" t="s">
        <v>3894</v>
      </c>
      <c r="Q116" s="46" t="n">
        <f aca="false">Spec_Rack!E25</f>
        <v>288</v>
      </c>
      <c r="R116" s="175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3872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1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4153</v>
      </c>
      <c r="B117" s="222" t="s">
        <v>3833</v>
      </c>
      <c r="C117" s="28" t="s">
        <v>3997</v>
      </c>
      <c r="D117" s="28" t="s">
        <v>4154</v>
      </c>
      <c r="E117" s="6" t="s">
        <v>219</v>
      </c>
      <c r="F117" s="222" t="s">
        <v>319</v>
      </c>
      <c r="G117" s="222" t="s">
        <v>3835</v>
      </c>
      <c r="H117" s="28" t="s">
        <v>4155</v>
      </c>
      <c r="I117" s="19" t="s">
        <v>3870</v>
      </c>
      <c r="J117" s="28" t="s">
        <v>608</v>
      </c>
      <c r="K117" s="222"/>
      <c r="L117" s="222"/>
      <c r="M117" s="28" t="s">
        <v>608</v>
      </c>
      <c r="N117" s="19" t="s">
        <v>4062</v>
      </c>
      <c r="O117" s="6" t="s">
        <v>608</v>
      </c>
      <c r="P117" s="222" t="s">
        <v>3894</v>
      </c>
      <c r="Q117" s="46" t="n">
        <f aca="false">Spec_Rack!F25</f>
        <v>288</v>
      </c>
      <c r="R117" s="175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3872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1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4156</v>
      </c>
      <c r="B118" s="222" t="s">
        <v>3833</v>
      </c>
      <c r="C118" s="28" t="s">
        <v>3997</v>
      </c>
      <c r="D118" s="28" t="s">
        <v>4157</v>
      </c>
      <c r="E118" s="6" t="s">
        <v>219</v>
      </c>
      <c r="F118" s="28" t="s">
        <v>94</v>
      </c>
      <c r="G118" s="222" t="s">
        <v>79</v>
      </c>
      <c r="H118" s="28" t="s">
        <v>608</v>
      </c>
      <c r="I118" s="6" t="s">
        <v>608</v>
      </c>
      <c r="J118" s="28" t="s">
        <v>608</v>
      </c>
      <c r="K118" s="175" t="n">
        <f aca="false">Spec_Rack!G25*0.7</f>
        <v>716.8</v>
      </c>
      <c r="L118" s="175" t="n">
        <f aca="false">Spec_Rack!G25*1.3</f>
        <v>1331.2</v>
      </c>
      <c r="M118" s="28" t="s">
        <v>4125</v>
      </c>
      <c r="N118" s="6" t="s">
        <v>4158</v>
      </c>
      <c r="O118" s="6" t="s">
        <v>608</v>
      </c>
      <c r="P118" s="222" t="s">
        <v>3894</v>
      </c>
      <c r="Q118" s="46" t="n">
        <f aca="false">Spec_Rack!G25</f>
        <v>1024</v>
      </c>
      <c r="R118" s="28" t="s">
        <v>608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3839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1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4159</v>
      </c>
      <c r="B119" s="222" t="s">
        <v>3833</v>
      </c>
      <c r="C119" s="28" t="s">
        <v>3997</v>
      </c>
      <c r="D119" s="28" t="s">
        <v>4160</v>
      </c>
      <c r="E119" s="6" t="s">
        <v>221</v>
      </c>
      <c r="F119" s="222" t="s">
        <v>319</v>
      </c>
      <c r="G119" s="222" t="s">
        <v>3835</v>
      </c>
      <c r="H119" s="28" t="s">
        <v>4161</v>
      </c>
      <c r="I119" s="19" t="s">
        <v>3870</v>
      </c>
      <c r="J119" s="28" t="s">
        <v>608</v>
      </c>
      <c r="K119" s="222"/>
      <c r="L119" s="222"/>
      <c r="M119" s="28" t="s">
        <v>608</v>
      </c>
      <c r="N119" s="19" t="s">
        <v>4062</v>
      </c>
      <c r="O119" s="6" t="s">
        <v>608</v>
      </c>
      <c r="P119" s="222" t="s">
        <v>3894</v>
      </c>
      <c r="Q119" s="48" t="n">
        <f aca="false">Spec_Rack!C26</f>
        <v>3.35</v>
      </c>
      <c r="R119" s="175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3872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1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4162</v>
      </c>
      <c r="B120" s="222" t="s">
        <v>3833</v>
      </c>
      <c r="C120" s="28" t="s">
        <v>3997</v>
      </c>
      <c r="D120" s="28" t="s">
        <v>4163</v>
      </c>
      <c r="E120" s="6" t="s">
        <v>221</v>
      </c>
      <c r="F120" s="222" t="s">
        <v>319</v>
      </c>
      <c r="G120" s="222" t="s">
        <v>3835</v>
      </c>
      <c r="H120" s="28" t="s">
        <v>4164</v>
      </c>
      <c r="I120" s="19" t="s">
        <v>3870</v>
      </c>
      <c r="J120" s="28" t="s">
        <v>608</v>
      </c>
      <c r="K120" s="222"/>
      <c r="L120" s="222"/>
      <c r="M120" s="28" t="s">
        <v>608</v>
      </c>
      <c r="N120" s="19" t="s">
        <v>4062</v>
      </c>
      <c r="O120" s="6" t="s">
        <v>608</v>
      </c>
      <c r="P120" s="222" t="s">
        <v>3894</v>
      </c>
      <c r="Q120" s="48" t="n">
        <f aca="false">Spec_Rack!D26</f>
        <v>8</v>
      </c>
      <c r="R120" s="175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3872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1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4165</v>
      </c>
      <c r="B121" s="222" t="s">
        <v>3833</v>
      </c>
      <c r="C121" s="28" t="s">
        <v>3997</v>
      </c>
      <c r="D121" s="28" t="s">
        <v>3989</v>
      </c>
      <c r="E121" s="6" t="s">
        <v>221</v>
      </c>
      <c r="F121" s="222" t="s">
        <v>319</v>
      </c>
      <c r="G121" s="222" t="s">
        <v>3835</v>
      </c>
      <c r="H121" s="28" t="s">
        <v>4166</v>
      </c>
      <c r="I121" s="19" t="s">
        <v>3870</v>
      </c>
      <c r="J121" s="28" t="s">
        <v>608</v>
      </c>
      <c r="K121" s="222"/>
      <c r="L121" s="222"/>
      <c r="M121" s="28" t="s">
        <v>608</v>
      </c>
      <c r="N121" s="19" t="s">
        <v>4062</v>
      </c>
      <c r="O121" s="6" t="s">
        <v>608</v>
      </c>
      <c r="P121" s="222" t="s">
        <v>3894</v>
      </c>
      <c r="Q121" s="48" t="n">
        <f aca="false">Spec_Rack!E26</f>
        <v>8</v>
      </c>
      <c r="R121" s="175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3872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1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4167</v>
      </c>
      <c r="B122" s="222" t="s">
        <v>3833</v>
      </c>
      <c r="C122" s="28" t="s">
        <v>3997</v>
      </c>
      <c r="D122" s="28" t="s">
        <v>4168</v>
      </c>
      <c r="E122" s="6" t="s">
        <v>221</v>
      </c>
      <c r="F122" s="222" t="s">
        <v>319</v>
      </c>
      <c r="G122" s="222" t="s">
        <v>3835</v>
      </c>
      <c r="H122" s="28" t="s">
        <v>4169</v>
      </c>
      <c r="I122" s="19" t="s">
        <v>3870</v>
      </c>
      <c r="J122" s="28" t="s">
        <v>608</v>
      </c>
      <c r="K122" s="222"/>
      <c r="L122" s="222"/>
      <c r="M122" s="28" t="s">
        <v>608</v>
      </c>
      <c r="N122" s="19" t="s">
        <v>4062</v>
      </c>
      <c r="O122" s="6" t="s">
        <v>608</v>
      </c>
      <c r="P122" s="222" t="s">
        <v>3894</v>
      </c>
      <c r="Q122" s="48" t="n">
        <f aca="false">Spec_Rack!F26</f>
        <v>22</v>
      </c>
      <c r="R122" s="175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3872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1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4170</v>
      </c>
      <c r="B123" s="222" t="s">
        <v>3833</v>
      </c>
      <c r="C123" s="28" t="s">
        <v>3997</v>
      </c>
      <c r="D123" s="28" t="s">
        <v>4171</v>
      </c>
      <c r="E123" s="6" t="s">
        <v>221</v>
      </c>
      <c r="F123" s="222" t="s">
        <v>4026</v>
      </c>
      <c r="G123" s="222" t="s">
        <v>3835</v>
      </c>
      <c r="H123" s="28" t="s">
        <v>4172</v>
      </c>
      <c r="I123" s="19" t="s">
        <v>4173</v>
      </c>
      <c r="J123" s="28" t="s">
        <v>608</v>
      </c>
      <c r="K123" s="222"/>
      <c r="L123" s="222"/>
      <c r="M123" s="28" t="s">
        <v>608</v>
      </c>
      <c r="N123" s="19" t="s">
        <v>4174</v>
      </c>
      <c r="O123" s="6" t="s">
        <v>608</v>
      </c>
      <c r="P123" s="222" t="s">
        <v>3894</v>
      </c>
      <c r="Q123" s="48" t="n">
        <f aca="false">Spec_Rack!G26</f>
        <v>32</v>
      </c>
      <c r="R123" s="175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3839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1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4175</v>
      </c>
      <c r="B124" s="222" t="s">
        <v>3833</v>
      </c>
      <c r="C124" s="28" t="s">
        <v>3997</v>
      </c>
      <c r="D124" s="28" t="s">
        <v>4176</v>
      </c>
      <c r="E124" s="6" t="s">
        <v>223</v>
      </c>
      <c r="F124" s="222" t="s">
        <v>319</v>
      </c>
      <c r="G124" s="222" t="s">
        <v>3835</v>
      </c>
      <c r="H124" s="28" t="s">
        <v>4177</v>
      </c>
      <c r="I124" s="19" t="s">
        <v>4178</v>
      </c>
      <c r="J124" s="28" t="s">
        <v>608</v>
      </c>
      <c r="K124" s="222"/>
      <c r="L124" s="222"/>
      <c r="M124" s="28" t="s">
        <v>608</v>
      </c>
      <c r="N124" s="19" t="s">
        <v>3973</v>
      </c>
      <c r="O124" s="6" t="s">
        <v>608</v>
      </c>
      <c r="P124" s="222" t="s">
        <v>3838</v>
      </c>
      <c r="Q124" s="48" t="n">
        <f aca="false">Spec_Rack!C27</f>
        <v>0.05</v>
      </c>
      <c r="R124" s="175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3872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1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4179</v>
      </c>
      <c r="B125" s="222" t="s">
        <v>3833</v>
      </c>
      <c r="C125" s="28" t="s">
        <v>3997</v>
      </c>
      <c r="D125" s="28" t="s">
        <v>4180</v>
      </c>
      <c r="E125" s="6" t="s">
        <v>223</v>
      </c>
      <c r="F125" s="222" t="s">
        <v>319</v>
      </c>
      <c r="G125" s="222" t="s">
        <v>3835</v>
      </c>
      <c r="H125" s="28" t="s">
        <v>4181</v>
      </c>
      <c r="I125" s="19" t="s">
        <v>3870</v>
      </c>
      <c r="J125" s="28" t="s">
        <v>608</v>
      </c>
      <c r="K125" s="222"/>
      <c r="L125" s="222"/>
      <c r="M125" s="28" t="s">
        <v>608</v>
      </c>
      <c r="N125" s="19" t="s">
        <v>3973</v>
      </c>
      <c r="O125" s="6" t="s">
        <v>608</v>
      </c>
      <c r="P125" s="222" t="s">
        <v>3838</v>
      </c>
      <c r="Q125" s="48" t="n">
        <f aca="false">Spec_Rack!D27</f>
        <v>0.9</v>
      </c>
      <c r="R125" s="175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3872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1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4182</v>
      </c>
      <c r="B126" s="222" t="s">
        <v>3833</v>
      </c>
      <c r="C126" s="28" t="s">
        <v>3997</v>
      </c>
      <c r="D126" s="28" t="s">
        <v>3993</v>
      </c>
      <c r="E126" s="6" t="s">
        <v>223</v>
      </c>
      <c r="F126" s="222" t="s">
        <v>319</v>
      </c>
      <c r="G126" s="222" t="s">
        <v>3835</v>
      </c>
      <c r="H126" s="28" t="s">
        <v>4181</v>
      </c>
      <c r="I126" s="19" t="s">
        <v>3870</v>
      </c>
      <c r="J126" s="28" t="s">
        <v>608</v>
      </c>
      <c r="K126" s="222"/>
      <c r="L126" s="222"/>
      <c r="M126" s="28" t="s">
        <v>608</v>
      </c>
      <c r="N126" s="19" t="s">
        <v>3973</v>
      </c>
      <c r="O126" s="6" t="s">
        <v>608</v>
      </c>
      <c r="P126" s="222" t="s">
        <v>3838</v>
      </c>
      <c r="Q126" s="48" t="n">
        <f aca="false">Spec_Rack!E27</f>
        <v>0.9</v>
      </c>
      <c r="R126" s="175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3872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1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4183</v>
      </c>
      <c r="B127" s="222" t="s">
        <v>3833</v>
      </c>
      <c r="C127" s="28" t="s">
        <v>3997</v>
      </c>
      <c r="D127" s="28" t="s">
        <v>4184</v>
      </c>
      <c r="E127" s="6" t="s">
        <v>223</v>
      </c>
      <c r="F127" s="222" t="s">
        <v>319</v>
      </c>
      <c r="G127" s="222" t="s">
        <v>3835</v>
      </c>
      <c r="H127" s="28" t="s">
        <v>4185</v>
      </c>
      <c r="I127" s="19" t="s">
        <v>3870</v>
      </c>
      <c r="J127" s="28" t="s">
        <v>608</v>
      </c>
      <c r="K127" s="222"/>
      <c r="L127" s="222"/>
      <c r="M127" s="28" t="s">
        <v>608</v>
      </c>
      <c r="N127" s="19" t="s">
        <v>3973</v>
      </c>
      <c r="O127" s="6" t="s">
        <v>608</v>
      </c>
      <c r="P127" s="222" t="s">
        <v>3838</v>
      </c>
      <c r="Q127" s="48" t="n">
        <f aca="false">Spec_Rack!F27</f>
        <v>1.8</v>
      </c>
      <c r="R127" s="175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3872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1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4186</v>
      </c>
      <c r="B128" s="222" t="s">
        <v>3833</v>
      </c>
      <c r="C128" s="28" t="s">
        <v>3997</v>
      </c>
      <c r="D128" s="28" t="s">
        <v>4187</v>
      </c>
      <c r="E128" s="6" t="s">
        <v>223</v>
      </c>
      <c r="F128" s="28" t="s">
        <v>94</v>
      </c>
      <c r="G128" s="222" t="s">
        <v>3835</v>
      </c>
      <c r="H128" s="28" t="s">
        <v>608</v>
      </c>
      <c r="I128" s="6" t="s">
        <v>608</v>
      </c>
      <c r="J128" s="28" t="s">
        <v>608</v>
      </c>
      <c r="K128" s="224" t="n">
        <v>1.8</v>
      </c>
      <c r="L128" s="224" t="n">
        <v>3.6</v>
      </c>
      <c r="M128" s="28" t="s">
        <v>4188</v>
      </c>
      <c r="N128" s="6" t="s">
        <v>4189</v>
      </c>
      <c r="O128" s="6" t="s">
        <v>608</v>
      </c>
      <c r="P128" s="222" t="s">
        <v>3838</v>
      </c>
      <c r="Q128" s="48" t="n">
        <f aca="false">Spec_Rack!G27</f>
        <v>1.8</v>
      </c>
      <c r="R128" s="28" t="s">
        <v>608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3839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1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4190</v>
      </c>
      <c r="B129" s="222" t="s">
        <v>3833</v>
      </c>
      <c r="C129" s="28" t="s">
        <v>3997</v>
      </c>
      <c r="D129" s="28" t="s">
        <v>4191</v>
      </c>
      <c r="E129" s="6" t="s">
        <v>225</v>
      </c>
      <c r="F129" s="222" t="s">
        <v>319</v>
      </c>
      <c r="G129" s="222" t="s">
        <v>3835</v>
      </c>
      <c r="H129" s="28" t="s">
        <v>4192</v>
      </c>
      <c r="I129" s="19" t="s">
        <v>3870</v>
      </c>
      <c r="J129" s="28" t="s">
        <v>608</v>
      </c>
      <c r="K129" s="222"/>
      <c r="L129" s="222"/>
      <c r="M129" s="28" t="s">
        <v>608</v>
      </c>
      <c r="N129" s="19" t="s">
        <v>3973</v>
      </c>
      <c r="O129" s="6" t="s">
        <v>608</v>
      </c>
      <c r="P129" s="222" t="s">
        <v>1138</v>
      </c>
      <c r="Q129" s="46" t="n">
        <f aca="false">Spec_Rack!C28</f>
        <v>8</v>
      </c>
      <c r="R129" s="175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3872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1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4193</v>
      </c>
      <c r="B130" s="222" t="s">
        <v>3833</v>
      </c>
      <c r="C130" s="28" t="s">
        <v>3997</v>
      </c>
      <c r="D130" s="28" t="s">
        <v>3922</v>
      </c>
      <c r="E130" s="6" t="s">
        <v>225</v>
      </c>
      <c r="F130" s="222" t="s">
        <v>319</v>
      </c>
      <c r="G130" s="222" t="s">
        <v>3835</v>
      </c>
      <c r="H130" s="28" t="s">
        <v>4003</v>
      </c>
      <c r="I130" s="19" t="s">
        <v>3870</v>
      </c>
      <c r="J130" s="28" t="s">
        <v>608</v>
      </c>
      <c r="K130" s="222"/>
      <c r="L130" s="222"/>
      <c r="M130" s="28" t="s">
        <v>608</v>
      </c>
      <c r="N130" s="19" t="s">
        <v>3973</v>
      </c>
      <c r="O130" s="6" t="s">
        <v>608</v>
      </c>
      <c r="P130" s="222" t="s">
        <v>1138</v>
      </c>
      <c r="Q130" s="46" t="n">
        <f aca="false">Spec_Rack!D28</f>
        <v>72</v>
      </c>
      <c r="R130" s="175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3872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1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4194</v>
      </c>
      <c r="B131" s="222" t="s">
        <v>3833</v>
      </c>
      <c r="C131" s="28" t="s">
        <v>3997</v>
      </c>
      <c r="D131" s="28" t="s">
        <v>3920</v>
      </c>
      <c r="E131" s="6" t="s">
        <v>225</v>
      </c>
      <c r="F131" s="222" t="s">
        <v>319</v>
      </c>
      <c r="G131" s="222" t="s">
        <v>3835</v>
      </c>
      <c r="H131" s="28" t="s">
        <v>4003</v>
      </c>
      <c r="I131" s="19" t="s">
        <v>3870</v>
      </c>
      <c r="J131" s="28" t="s">
        <v>608</v>
      </c>
      <c r="K131" s="222"/>
      <c r="L131" s="222"/>
      <c r="M131" s="28" t="s">
        <v>608</v>
      </c>
      <c r="N131" s="19" t="s">
        <v>3973</v>
      </c>
      <c r="O131" s="6" t="s">
        <v>608</v>
      </c>
      <c r="P131" s="222" t="s">
        <v>1138</v>
      </c>
      <c r="Q131" s="46" t="n">
        <f aca="false">Spec_Rack!E28</f>
        <v>72</v>
      </c>
      <c r="R131" s="175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3872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1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4195</v>
      </c>
      <c r="B132" s="222" t="s">
        <v>3833</v>
      </c>
      <c r="C132" s="28" t="s">
        <v>3997</v>
      </c>
      <c r="D132" s="28" t="s">
        <v>3924</v>
      </c>
      <c r="E132" s="6" t="s">
        <v>225</v>
      </c>
      <c r="F132" s="222" t="s">
        <v>319</v>
      </c>
      <c r="G132" s="222" t="s">
        <v>3835</v>
      </c>
      <c r="H132" s="28" t="s">
        <v>4003</v>
      </c>
      <c r="I132" s="19" t="s">
        <v>3870</v>
      </c>
      <c r="J132" s="28" t="s">
        <v>608</v>
      </c>
      <c r="K132" s="222"/>
      <c r="L132" s="222"/>
      <c r="M132" s="28" t="s">
        <v>608</v>
      </c>
      <c r="N132" s="19" t="s">
        <v>3973</v>
      </c>
      <c r="O132" s="6" t="s">
        <v>608</v>
      </c>
      <c r="P132" s="222" t="s">
        <v>1138</v>
      </c>
      <c r="Q132" s="46" t="n">
        <f aca="false">Spec_Rack!F28</f>
        <v>72</v>
      </c>
      <c r="R132" s="175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3872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1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4196</v>
      </c>
      <c r="B133" s="222" t="s">
        <v>3833</v>
      </c>
      <c r="C133" s="28" t="s">
        <v>3997</v>
      </c>
      <c r="D133" s="28" t="s">
        <v>4197</v>
      </c>
      <c r="E133" s="6" t="s">
        <v>225</v>
      </c>
      <c r="F133" s="222" t="s">
        <v>319</v>
      </c>
      <c r="G133" s="222" t="s">
        <v>3835</v>
      </c>
      <c r="H133" s="28" t="s">
        <v>4198</v>
      </c>
      <c r="I133" s="19" t="s">
        <v>3870</v>
      </c>
      <c r="J133" s="28" t="s">
        <v>608</v>
      </c>
      <c r="K133" s="222" t="n">
        <v>72</v>
      </c>
      <c r="L133" s="222" t="n">
        <v>576</v>
      </c>
      <c r="M133" s="222" t="s">
        <v>4199</v>
      </c>
      <c r="N133" s="19" t="s">
        <v>3973</v>
      </c>
      <c r="O133" s="6" t="s">
        <v>608</v>
      </c>
      <c r="P133" s="222" t="s">
        <v>1138</v>
      </c>
      <c r="Q133" s="46" t="n">
        <f aca="false">Spec_Rack!G28</f>
        <v>576</v>
      </c>
      <c r="R133" s="175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3872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1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4200</v>
      </c>
      <c r="B134" s="222" t="s">
        <v>3833</v>
      </c>
      <c r="C134" s="28" t="s">
        <v>3997</v>
      </c>
      <c r="D134" s="28" t="s">
        <v>4201</v>
      </c>
      <c r="E134" s="6" t="s">
        <v>226</v>
      </c>
      <c r="F134" s="28" t="s">
        <v>98</v>
      </c>
      <c r="G134" s="222" t="s">
        <v>3835</v>
      </c>
      <c r="H134" s="28" t="s">
        <v>4202</v>
      </c>
      <c r="I134" s="19" t="s">
        <v>4203</v>
      </c>
      <c r="J134" s="28" t="s">
        <v>608</v>
      </c>
      <c r="K134" s="224" t="n">
        <v>32</v>
      </c>
      <c r="L134" s="224" t="n">
        <v>144</v>
      </c>
      <c r="M134" s="28" t="s">
        <v>4204</v>
      </c>
      <c r="N134" s="6" t="s">
        <v>4205</v>
      </c>
      <c r="O134" s="6" t="s">
        <v>608</v>
      </c>
      <c r="P134" s="222" t="s">
        <v>3894</v>
      </c>
      <c r="Q134" s="46" t="n">
        <f aca="false">Spec_Rack!C29</f>
        <v>64</v>
      </c>
      <c r="R134" s="175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3839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1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4206</v>
      </c>
      <c r="B135" s="222" t="s">
        <v>3833</v>
      </c>
      <c r="C135" s="28" t="s">
        <v>3997</v>
      </c>
      <c r="D135" s="28" t="s">
        <v>4207</v>
      </c>
      <c r="E135" s="6" t="s">
        <v>226</v>
      </c>
      <c r="F135" s="28" t="s">
        <v>98</v>
      </c>
      <c r="G135" s="222" t="s">
        <v>3835</v>
      </c>
      <c r="H135" s="28" t="s">
        <v>4208</v>
      </c>
      <c r="I135" s="19" t="s">
        <v>4209</v>
      </c>
      <c r="J135" s="28" t="s">
        <v>608</v>
      </c>
      <c r="K135" s="224" t="n">
        <v>16</v>
      </c>
      <c r="L135" s="224" t="n">
        <v>72</v>
      </c>
      <c r="M135" s="28" t="s">
        <v>4210</v>
      </c>
      <c r="N135" s="6" t="s">
        <v>4211</v>
      </c>
      <c r="O135" s="6" t="s">
        <v>608</v>
      </c>
      <c r="P135" s="222" t="s">
        <v>3894</v>
      </c>
      <c r="Q135" s="46" t="n">
        <f aca="false">Spec_Rack!D29</f>
        <v>32</v>
      </c>
      <c r="R135" s="175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3839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1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4212</v>
      </c>
      <c r="B136" s="222" t="s">
        <v>3833</v>
      </c>
      <c r="C136" s="28" t="s">
        <v>3997</v>
      </c>
      <c r="D136" s="28" t="s">
        <v>4213</v>
      </c>
      <c r="E136" s="6" t="s">
        <v>226</v>
      </c>
      <c r="F136" s="222" t="s">
        <v>319</v>
      </c>
      <c r="G136" s="222" t="s">
        <v>3835</v>
      </c>
      <c r="H136" s="28" t="s">
        <v>4208</v>
      </c>
      <c r="I136" s="19" t="s">
        <v>3870</v>
      </c>
      <c r="J136" s="28" t="s">
        <v>608</v>
      </c>
      <c r="K136" s="222"/>
      <c r="L136" s="222"/>
      <c r="M136" s="28" t="s">
        <v>608</v>
      </c>
      <c r="N136" s="19" t="s">
        <v>4062</v>
      </c>
      <c r="O136" s="6" t="s">
        <v>608</v>
      </c>
      <c r="P136" s="222" t="s">
        <v>3894</v>
      </c>
      <c r="Q136" s="46" t="n">
        <f aca="false">Spec_Rack!E29</f>
        <v>32</v>
      </c>
      <c r="R136" s="175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3872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1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4214</v>
      </c>
      <c r="B137" s="222" t="s">
        <v>3833</v>
      </c>
      <c r="C137" s="28" t="s">
        <v>3997</v>
      </c>
      <c r="D137" s="28" t="s">
        <v>4215</v>
      </c>
      <c r="E137" s="6" t="s">
        <v>226</v>
      </c>
      <c r="F137" s="28" t="s">
        <v>98</v>
      </c>
      <c r="G137" s="222" t="s">
        <v>3835</v>
      </c>
      <c r="H137" s="28" t="s">
        <v>4208</v>
      </c>
      <c r="I137" s="19" t="s">
        <v>4209</v>
      </c>
      <c r="J137" s="28" t="s">
        <v>608</v>
      </c>
      <c r="K137" s="224" t="n">
        <v>16</v>
      </c>
      <c r="L137" s="224" t="n">
        <v>72</v>
      </c>
      <c r="M137" s="28" t="s">
        <v>4210</v>
      </c>
      <c r="N137" s="6" t="s">
        <v>4211</v>
      </c>
      <c r="O137" s="6" t="s">
        <v>608</v>
      </c>
      <c r="P137" s="222" t="s">
        <v>3894</v>
      </c>
      <c r="Q137" s="46" t="n">
        <f aca="false">Spec_Rack!F29</f>
        <v>32</v>
      </c>
      <c r="R137" s="175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3839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1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4216</v>
      </c>
      <c r="B138" s="222" t="s">
        <v>3833</v>
      </c>
      <c r="C138" s="28" t="s">
        <v>3997</v>
      </c>
      <c r="D138" s="28" t="s">
        <v>4217</v>
      </c>
      <c r="E138" s="6" t="s">
        <v>226</v>
      </c>
      <c r="F138" s="28" t="s">
        <v>94</v>
      </c>
      <c r="G138" s="222" t="s">
        <v>3835</v>
      </c>
      <c r="H138" s="28" t="s">
        <v>608</v>
      </c>
      <c r="I138" s="6" t="s">
        <v>608</v>
      </c>
      <c r="J138" s="28" t="s">
        <v>608</v>
      </c>
      <c r="K138" s="224" t="n">
        <v>32</v>
      </c>
      <c r="L138" s="224" t="n">
        <v>144</v>
      </c>
      <c r="M138" s="28" t="s">
        <v>4204</v>
      </c>
      <c r="N138" s="6" t="s">
        <v>4158</v>
      </c>
      <c r="O138" s="6" t="s">
        <v>608</v>
      </c>
      <c r="P138" s="222" t="s">
        <v>3894</v>
      </c>
      <c r="Q138" s="46" t="n">
        <f aca="false">Spec_Rack!G29</f>
        <v>64</v>
      </c>
      <c r="R138" s="28" t="s">
        <v>608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3839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1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4218</v>
      </c>
      <c r="B139" s="222" t="s">
        <v>3833</v>
      </c>
      <c r="C139" s="28" t="s">
        <v>3997</v>
      </c>
      <c r="D139" s="28" t="s">
        <v>4219</v>
      </c>
      <c r="E139" s="19" t="s">
        <v>4220</v>
      </c>
      <c r="F139" s="222" t="s">
        <v>319</v>
      </c>
      <c r="G139" s="222" t="s">
        <v>3835</v>
      </c>
      <c r="H139" s="28" t="s">
        <v>4221</v>
      </c>
      <c r="I139" s="19" t="s">
        <v>3870</v>
      </c>
      <c r="J139" s="28" t="s">
        <v>608</v>
      </c>
      <c r="K139" s="222"/>
      <c r="L139" s="222"/>
      <c r="M139" s="28" t="s">
        <v>608</v>
      </c>
      <c r="N139" s="19" t="s">
        <v>4062</v>
      </c>
      <c r="O139" s="6" t="s">
        <v>608</v>
      </c>
      <c r="P139" s="222" t="s">
        <v>3894</v>
      </c>
      <c r="Q139" s="50" t="n">
        <f aca="false">Spec_Rack!C30</f>
        <v>1</v>
      </c>
      <c r="R139" s="175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3872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1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4222</v>
      </c>
      <c r="B140" s="222" t="s">
        <v>3833</v>
      </c>
      <c r="C140" s="28" t="s">
        <v>3997</v>
      </c>
      <c r="D140" s="28" t="s">
        <v>3933</v>
      </c>
      <c r="E140" s="19" t="s">
        <v>4220</v>
      </c>
      <c r="F140" s="222" t="s">
        <v>319</v>
      </c>
      <c r="G140" s="222" t="s">
        <v>3835</v>
      </c>
      <c r="H140" s="28" t="s">
        <v>4223</v>
      </c>
      <c r="I140" s="19" t="s">
        <v>3870</v>
      </c>
      <c r="J140" s="28" t="s">
        <v>608</v>
      </c>
      <c r="K140" s="222"/>
      <c r="L140" s="222"/>
      <c r="M140" s="28" t="s">
        <v>608</v>
      </c>
      <c r="N140" s="19" t="s">
        <v>4062</v>
      </c>
      <c r="O140" s="6" t="s">
        <v>608</v>
      </c>
      <c r="P140" s="222" t="s">
        <v>3894</v>
      </c>
      <c r="Q140" s="50" t="n">
        <f aca="false">Spec_Rack!D30</f>
        <v>0.5625</v>
      </c>
      <c r="R140" s="175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3872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1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4224</v>
      </c>
      <c r="B141" s="222" t="s">
        <v>3833</v>
      </c>
      <c r="C141" s="28" t="s">
        <v>3997</v>
      </c>
      <c r="D141" s="28" t="s">
        <v>3926</v>
      </c>
      <c r="E141" s="19" t="s">
        <v>4220</v>
      </c>
      <c r="F141" s="222" t="s">
        <v>319</v>
      </c>
      <c r="G141" s="222" t="s">
        <v>3835</v>
      </c>
      <c r="H141" s="28" t="s">
        <v>4223</v>
      </c>
      <c r="I141" s="19" t="s">
        <v>3870</v>
      </c>
      <c r="J141" s="28" t="s">
        <v>608</v>
      </c>
      <c r="K141" s="222"/>
      <c r="L141" s="222"/>
      <c r="M141" s="28" t="s">
        <v>608</v>
      </c>
      <c r="N141" s="19" t="s">
        <v>4062</v>
      </c>
      <c r="O141" s="6" t="s">
        <v>608</v>
      </c>
      <c r="P141" s="222" t="s">
        <v>3894</v>
      </c>
      <c r="Q141" s="50" t="n">
        <f aca="false">Spec_Rack!E30</f>
        <v>0.5625</v>
      </c>
      <c r="R141" s="175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3872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1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4225</v>
      </c>
      <c r="B142" s="222" t="s">
        <v>3833</v>
      </c>
      <c r="C142" s="28" t="s">
        <v>3997</v>
      </c>
      <c r="D142" s="28" t="s">
        <v>3936</v>
      </c>
      <c r="E142" s="19" t="s">
        <v>4220</v>
      </c>
      <c r="F142" s="222" t="s">
        <v>319</v>
      </c>
      <c r="G142" s="222" t="s">
        <v>3835</v>
      </c>
      <c r="H142" s="28" t="s">
        <v>4223</v>
      </c>
      <c r="I142" s="19" t="s">
        <v>3870</v>
      </c>
      <c r="J142" s="28" t="s">
        <v>608</v>
      </c>
      <c r="K142" s="222"/>
      <c r="L142" s="222"/>
      <c r="M142" s="28" t="s">
        <v>608</v>
      </c>
      <c r="N142" s="19" t="s">
        <v>4062</v>
      </c>
      <c r="O142" s="6" t="s">
        <v>608</v>
      </c>
      <c r="P142" s="222" t="s">
        <v>3894</v>
      </c>
      <c r="Q142" s="50" t="n">
        <f aca="false">Spec_Rack!F30</f>
        <v>0.5625</v>
      </c>
      <c r="R142" s="175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3872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1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4226</v>
      </c>
      <c r="B143" s="222" t="s">
        <v>3833</v>
      </c>
      <c r="C143" s="28" t="s">
        <v>3997</v>
      </c>
      <c r="D143" s="28" t="s">
        <v>4227</v>
      </c>
      <c r="E143" s="19" t="s">
        <v>4220</v>
      </c>
      <c r="F143" s="222" t="s">
        <v>319</v>
      </c>
      <c r="G143" s="222" t="s">
        <v>3835</v>
      </c>
      <c r="H143" s="28" t="s">
        <v>4223</v>
      </c>
      <c r="I143" s="19" t="s">
        <v>3870</v>
      </c>
      <c r="J143" s="28" t="s">
        <v>608</v>
      </c>
      <c r="K143" s="222"/>
      <c r="L143" s="222"/>
      <c r="M143" s="28" t="s">
        <v>608</v>
      </c>
      <c r="N143" s="19" t="s">
        <v>4062</v>
      </c>
      <c r="O143" s="6" t="s">
        <v>608</v>
      </c>
      <c r="P143" s="222" t="s">
        <v>3894</v>
      </c>
      <c r="Q143" s="50" t="n">
        <f aca="false">Spec_Rack!G30</f>
        <v>0.5625</v>
      </c>
      <c r="R143" s="175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3872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1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4228</v>
      </c>
      <c r="B144" s="222" t="s">
        <v>3833</v>
      </c>
      <c r="C144" s="28" t="s">
        <v>3997</v>
      </c>
      <c r="D144" s="28" t="s">
        <v>4229</v>
      </c>
      <c r="E144" s="19" t="s">
        <v>4230</v>
      </c>
      <c r="F144" s="28" t="s">
        <v>94</v>
      </c>
      <c r="G144" s="222" t="s">
        <v>3835</v>
      </c>
      <c r="H144" s="28" t="s">
        <v>608</v>
      </c>
      <c r="I144" s="6" t="s">
        <v>608</v>
      </c>
      <c r="J144" s="28" t="s">
        <v>608</v>
      </c>
      <c r="K144" s="224" t="n">
        <v>1</v>
      </c>
      <c r="L144" s="224" t="n">
        <v>2</v>
      </c>
      <c r="M144" s="28" t="s">
        <v>4231</v>
      </c>
      <c r="N144" s="19" t="s">
        <v>4232</v>
      </c>
      <c r="O144" s="6" t="s">
        <v>4233</v>
      </c>
      <c r="P144" s="222" t="s">
        <v>3894</v>
      </c>
      <c r="Q144" s="183" t="n">
        <f aca="false">Spec_Rack!C31</f>
        <v>1</v>
      </c>
      <c r="R144" s="28" t="s">
        <v>608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3839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1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4234</v>
      </c>
      <c r="B145" s="222" t="s">
        <v>3833</v>
      </c>
      <c r="C145" s="28" t="s">
        <v>3997</v>
      </c>
      <c r="D145" s="28" t="s">
        <v>3942</v>
      </c>
      <c r="E145" s="19" t="s">
        <v>4230</v>
      </c>
      <c r="F145" s="28" t="s">
        <v>94</v>
      </c>
      <c r="G145" s="222" t="s">
        <v>3835</v>
      </c>
      <c r="H145" s="28" t="s">
        <v>608</v>
      </c>
      <c r="I145" s="6" t="s">
        <v>608</v>
      </c>
      <c r="J145" s="28" t="s">
        <v>608</v>
      </c>
      <c r="K145" s="224" t="n">
        <v>1</v>
      </c>
      <c r="L145" s="224" t="n">
        <v>2</v>
      </c>
      <c r="M145" s="28" t="s">
        <v>4231</v>
      </c>
      <c r="N145" s="19" t="s">
        <v>4232</v>
      </c>
      <c r="O145" s="6" t="s">
        <v>4233</v>
      </c>
      <c r="P145" s="222" t="s">
        <v>3894</v>
      </c>
      <c r="Q145" s="183" t="n">
        <f aca="false">Spec_Rack!D31</f>
        <v>1</v>
      </c>
      <c r="R145" s="28" t="s">
        <v>608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3839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1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4235</v>
      </c>
      <c r="B146" s="222" t="s">
        <v>3833</v>
      </c>
      <c r="C146" s="28" t="s">
        <v>3997</v>
      </c>
      <c r="D146" s="28" t="s">
        <v>3939</v>
      </c>
      <c r="E146" s="19" t="s">
        <v>4230</v>
      </c>
      <c r="F146" s="28" t="s">
        <v>94</v>
      </c>
      <c r="G146" s="222" t="s">
        <v>3835</v>
      </c>
      <c r="H146" s="28" t="s">
        <v>608</v>
      </c>
      <c r="I146" s="6" t="s">
        <v>608</v>
      </c>
      <c r="J146" s="28" t="s">
        <v>608</v>
      </c>
      <c r="K146" s="224" t="n">
        <v>1</v>
      </c>
      <c r="L146" s="224" t="n">
        <v>2</v>
      </c>
      <c r="M146" s="28" t="s">
        <v>4231</v>
      </c>
      <c r="N146" s="19" t="s">
        <v>4232</v>
      </c>
      <c r="O146" s="6" t="s">
        <v>4233</v>
      </c>
      <c r="P146" s="222" t="s">
        <v>3894</v>
      </c>
      <c r="Q146" s="183" t="n">
        <f aca="false">Spec_Rack!E31</f>
        <v>1</v>
      </c>
      <c r="R146" s="28" t="s">
        <v>608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3839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1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4236</v>
      </c>
      <c r="B147" s="222" t="s">
        <v>3833</v>
      </c>
      <c r="C147" s="28" t="s">
        <v>3997</v>
      </c>
      <c r="D147" s="28" t="s">
        <v>3944</v>
      </c>
      <c r="E147" s="19" t="s">
        <v>4230</v>
      </c>
      <c r="F147" s="28" t="s">
        <v>94</v>
      </c>
      <c r="G147" s="222" t="s">
        <v>3835</v>
      </c>
      <c r="H147" s="28" t="s">
        <v>608</v>
      </c>
      <c r="I147" s="6" t="s">
        <v>608</v>
      </c>
      <c r="J147" s="28" t="s">
        <v>608</v>
      </c>
      <c r="K147" s="224" t="n">
        <v>1</v>
      </c>
      <c r="L147" s="224" t="n">
        <v>2</v>
      </c>
      <c r="M147" s="28" t="s">
        <v>4231</v>
      </c>
      <c r="N147" s="19" t="s">
        <v>4232</v>
      </c>
      <c r="O147" s="6" t="s">
        <v>4233</v>
      </c>
      <c r="P147" s="222" t="s">
        <v>3894</v>
      </c>
      <c r="Q147" s="183" t="n">
        <f aca="false">Spec_Rack!F31</f>
        <v>1</v>
      </c>
      <c r="R147" s="28" t="s">
        <v>608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3839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1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4237</v>
      </c>
      <c r="B148" s="222" t="s">
        <v>3833</v>
      </c>
      <c r="C148" s="28" t="s">
        <v>3997</v>
      </c>
      <c r="D148" s="28" t="s">
        <v>4238</v>
      </c>
      <c r="E148" s="19" t="s">
        <v>4230</v>
      </c>
      <c r="F148" s="28" t="s">
        <v>94</v>
      </c>
      <c r="G148" s="222" t="s">
        <v>3835</v>
      </c>
      <c r="H148" s="28" t="s">
        <v>608</v>
      </c>
      <c r="I148" s="6" t="s">
        <v>608</v>
      </c>
      <c r="J148" s="28" t="s">
        <v>608</v>
      </c>
      <c r="K148" s="224" t="n">
        <v>1</v>
      </c>
      <c r="L148" s="224" t="n">
        <v>2</v>
      </c>
      <c r="M148" s="28" t="s">
        <v>4231</v>
      </c>
      <c r="N148" s="19" t="s">
        <v>4232</v>
      </c>
      <c r="O148" s="6" t="s">
        <v>4233</v>
      </c>
      <c r="P148" s="222" t="s">
        <v>3894</v>
      </c>
      <c r="Q148" s="183" t="n">
        <f aca="false">Spec_Rack!G31</f>
        <v>1</v>
      </c>
      <c r="R148" s="28" t="s">
        <v>608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3839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1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4239</v>
      </c>
      <c r="B149" s="222" t="s">
        <v>3833</v>
      </c>
      <c r="C149" s="28" t="s">
        <v>3997</v>
      </c>
      <c r="D149" s="28" t="s">
        <v>4240</v>
      </c>
      <c r="E149" s="19" t="s">
        <v>4241</v>
      </c>
      <c r="F149" s="28" t="s">
        <v>94</v>
      </c>
      <c r="G149" s="222" t="s">
        <v>3835</v>
      </c>
      <c r="H149" s="28" t="s">
        <v>608</v>
      </c>
      <c r="I149" s="6" t="s">
        <v>608</v>
      </c>
      <c r="J149" s="28" t="s">
        <v>608</v>
      </c>
      <c r="K149" s="224" t="n">
        <v>4</v>
      </c>
      <c r="L149" s="224" t="n">
        <v>16</v>
      </c>
      <c r="M149" s="28" t="s">
        <v>4242</v>
      </c>
      <c r="N149" s="6" t="s">
        <v>4243</v>
      </c>
      <c r="O149" s="6" t="s">
        <v>608</v>
      </c>
      <c r="P149" s="222" t="s">
        <v>3838</v>
      </c>
      <c r="Q149" s="46" t="n">
        <f aca="false">Spec_Rack!C32</f>
        <v>8</v>
      </c>
      <c r="R149" s="28" t="s">
        <v>608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3839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1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4244</v>
      </c>
      <c r="B150" s="222" t="s">
        <v>3833</v>
      </c>
      <c r="C150" s="28" t="s">
        <v>3997</v>
      </c>
      <c r="D150" s="28" t="s">
        <v>3948</v>
      </c>
      <c r="E150" s="19" t="s">
        <v>4241</v>
      </c>
      <c r="F150" s="28" t="s">
        <v>98</v>
      </c>
      <c r="G150" s="222" t="s">
        <v>3835</v>
      </c>
      <c r="H150" s="28" t="s">
        <v>4245</v>
      </c>
      <c r="I150" s="19" t="s">
        <v>4246</v>
      </c>
      <c r="J150" s="28" t="s">
        <v>608</v>
      </c>
      <c r="K150" s="224" t="n">
        <v>2</v>
      </c>
      <c r="L150" s="224" t="n">
        <v>8</v>
      </c>
      <c r="M150" s="28" t="s">
        <v>4247</v>
      </c>
      <c r="N150" s="6" t="s">
        <v>4248</v>
      </c>
      <c r="O150" s="6" t="s">
        <v>608</v>
      </c>
      <c r="P150" s="222" t="s">
        <v>3838</v>
      </c>
      <c r="Q150" s="46" t="n">
        <f aca="false">Spec_Rack!D32</f>
        <v>4</v>
      </c>
      <c r="R150" s="175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3839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1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4249</v>
      </c>
      <c r="B151" s="222" t="s">
        <v>3833</v>
      </c>
      <c r="C151" s="28" t="s">
        <v>3997</v>
      </c>
      <c r="D151" s="28" t="s">
        <v>3946</v>
      </c>
      <c r="E151" s="19" t="s">
        <v>4241</v>
      </c>
      <c r="F151" s="222" t="s">
        <v>319</v>
      </c>
      <c r="G151" s="222" t="s">
        <v>3835</v>
      </c>
      <c r="H151" s="28" t="s">
        <v>4245</v>
      </c>
      <c r="I151" s="19" t="s">
        <v>3870</v>
      </c>
      <c r="J151" s="28" t="s">
        <v>608</v>
      </c>
      <c r="K151" s="222"/>
      <c r="L151" s="222"/>
      <c r="M151" s="28" t="s">
        <v>608</v>
      </c>
      <c r="N151" s="19" t="s">
        <v>3973</v>
      </c>
      <c r="O151" s="6" t="s">
        <v>608</v>
      </c>
      <c r="P151" s="222" t="s">
        <v>3838</v>
      </c>
      <c r="Q151" s="46" t="n">
        <f aca="false">Spec_Rack!E32</f>
        <v>4</v>
      </c>
      <c r="R151" s="175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3872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1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4250</v>
      </c>
      <c r="B152" s="222" t="s">
        <v>3833</v>
      </c>
      <c r="C152" s="28" t="s">
        <v>3997</v>
      </c>
      <c r="D152" s="28" t="s">
        <v>3950</v>
      </c>
      <c r="E152" s="19" t="s">
        <v>4241</v>
      </c>
      <c r="F152" s="28" t="s">
        <v>98</v>
      </c>
      <c r="G152" s="222" t="s">
        <v>3835</v>
      </c>
      <c r="H152" s="28" t="s">
        <v>4245</v>
      </c>
      <c r="I152" s="19" t="s">
        <v>4246</v>
      </c>
      <c r="J152" s="28" t="s">
        <v>608</v>
      </c>
      <c r="K152" s="224" t="n">
        <v>2</v>
      </c>
      <c r="L152" s="224" t="n">
        <v>8</v>
      </c>
      <c r="M152" s="28" t="s">
        <v>4247</v>
      </c>
      <c r="N152" s="6" t="s">
        <v>4248</v>
      </c>
      <c r="O152" s="6" t="s">
        <v>608</v>
      </c>
      <c r="P152" s="222" t="s">
        <v>3838</v>
      </c>
      <c r="Q152" s="46" t="n">
        <f aca="false">Spec_Rack!F32</f>
        <v>4</v>
      </c>
      <c r="R152" s="175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3839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1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4251</v>
      </c>
      <c r="B153" s="222" t="s">
        <v>3833</v>
      </c>
      <c r="C153" s="28" t="s">
        <v>3997</v>
      </c>
      <c r="D153" s="28" t="s">
        <v>4252</v>
      </c>
      <c r="E153" s="19" t="s">
        <v>4241</v>
      </c>
      <c r="F153" s="28" t="s">
        <v>94</v>
      </c>
      <c r="G153" s="222" t="s">
        <v>3835</v>
      </c>
      <c r="H153" s="28" t="s">
        <v>608</v>
      </c>
      <c r="I153" s="6" t="s">
        <v>608</v>
      </c>
      <c r="J153" s="28" t="s">
        <v>608</v>
      </c>
      <c r="K153" s="224" t="n">
        <v>4</v>
      </c>
      <c r="L153" s="224" t="n">
        <v>16</v>
      </c>
      <c r="M153" s="28" t="s">
        <v>4242</v>
      </c>
      <c r="N153" s="6" t="s">
        <v>4253</v>
      </c>
      <c r="O153" s="6" t="s">
        <v>608</v>
      </c>
      <c r="P153" s="222" t="s">
        <v>3838</v>
      </c>
      <c r="Q153" s="46" t="n">
        <f aca="false">Spec_Rack!G32</f>
        <v>8</v>
      </c>
      <c r="R153" s="28" t="s">
        <v>608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3839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1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4254</v>
      </c>
      <c r="B154" s="222" t="s">
        <v>3833</v>
      </c>
      <c r="C154" s="28" t="s">
        <v>3997</v>
      </c>
      <c r="D154" s="28" t="s">
        <v>4255</v>
      </c>
      <c r="E154" s="6" t="s">
        <v>234</v>
      </c>
      <c r="F154" s="222" t="s">
        <v>319</v>
      </c>
      <c r="G154" s="222" t="s">
        <v>3835</v>
      </c>
      <c r="H154" s="28" t="s">
        <v>4256</v>
      </c>
      <c r="I154" s="19" t="s">
        <v>3870</v>
      </c>
      <c r="J154" s="28" t="s">
        <v>608</v>
      </c>
      <c r="K154" s="222"/>
      <c r="L154" s="222"/>
      <c r="M154" s="28" t="s">
        <v>608</v>
      </c>
      <c r="N154" s="19" t="s">
        <v>3973</v>
      </c>
      <c r="O154" s="6" t="s">
        <v>608</v>
      </c>
      <c r="P154" s="222" t="s">
        <v>3838</v>
      </c>
      <c r="Q154" s="46" t="n">
        <f aca="false">Spec_Rack!C33</f>
        <v>700</v>
      </c>
      <c r="R154" s="175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3872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1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4257</v>
      </c>
      <c r="B155" s="222" t="s">
        <v>3833</v>
      </c>
      <c r="C155" s="28" t="s">
        <v>3997</v>
      </c>
      <c r="D155" s="28" t="s">
        <v>3954</v>
      </c>
      <c r="E155" s="6" t="s">
        <v>234</v>
      </c>
      <c r="F155" s="222" t="s">
        <v>319</v>
      </c>
      <c r="G155" s="222" t="s">
        <v>3835</v>
      </c>
      <c r="H155" s="28" t="s">
        <v>4258</v>
      </c>
      <c r="I155" s="19" t="s">
        <v>3870</v>
      </c>
      <c r="J155" s="28" t="s">
        <v>608</v>
      </c>
      <c r="K155" s="222"/>
      <c r="L155" s="222"/>
      <c r="M155" s="28" t="s">
        <v>608</v>
      </c>
      <c r="N155" s="19" t="s">
        <v>3973</v>
      </c>
      <c r="O155" s="6" t="s">
        <v>608</v>
      </c>
      <c r="P155" s="222" t="s">
        <v>3838</v>
      </c>
      <c r="Q155" s="46" t="n">
        <f aca="false">Spec_Rack!D33</f>
        <v>1200</v>
      </c>
      <c r="R155" s="175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3872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1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4259</v>
      </c>
      <c r="B156" s="222" t="s">
        <v>3833</v>
      </c>
      <c r="C156" s="28" t="s">
        <v>3997</v>
      </c>
      <c r="D156" s="28" t="s">
        <v>3952</v>
      </c>
      <c r="E156" s="6" t="s">
        <v>234</v>
      </c>
      <c r="F156" s="222" t="s">
        <v>319</v>
      </c>
      <c r="G156" s="222" t="s">
        <v>3835</v>
      </c>
      <c r="H156" s="28" t="s">
        <v>4260</v>
      </c>
      <c r="I156" s="19" t="s">
        <v>3870</v>
      </c>
      <c r="J156" s="28" t="s">
        <v>608</v>
      </c>
      <c r="K156" s="222"/>
      <c r="L156" s="222"/>
      <c r="M156" s="28" t="s">
        <v>608</v>
      </c>
      <c r="N156" s="19" t="s">
        <v>3973</v>
      </c>
      <c r="O156" s="6" t="s">
        <v>608</v>
      </c>
      <c r="P156" s="222" t="s">
        <v>3838</v>
      </c>
      <c r="Q156" s="46" t="n">
        <f aca="false">Spec_Rack!E33</f>
        <v>1400</v>
      </c>
      <c r="R156" s="175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3872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1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4261</v>
      </c>
      <c r="B157" s="222" t="s">
        <v>3833</v>
      </c>
      <c r="C157" s="28" t="s">
        <v>3997</v>
      </c>
      <c r="D157" s="28" t="s">
        <v>3956</v>
      </c>
      <c r="E157" s="6" t="s">
        <v>234</v>
      </c>
      <c r="F157" s="222" t="s">
        <v>319</v>
      </c>
      <c r="G157" s="222" t="s">
        <v>3835</v>
      </c>
      <c r="H157" s="28" t="s">
        <v>4262</v>
      </c>
      <c r="I157" s="19" t="s">
        <v>4178</v>
      </c>
      <c r="J157" s="28" t="s">
        <v>608</v>
      </c>
      <c r="K157" s="222"/>
      <c r="L157" s="222"/>
      <c r="M157" s="28" t="s">
        <v>608</v>
      </c>
      <c r="N157" s="19" t="s">
        <v>3973</v>
      </c>
      <c r="O157" s="6" t="s">
        <v>608</v>
      </c>
      <c r="P157" s="222" t="s">
        <v>3838</v>
      </c>
      <c r="Q157" s="46" t="n">
        <f aca="false">Spec_Rack!F33</f>
        <v>1800</v>
      </c>
      <c r="R157" s="175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3872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1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4263</v>
      </c>
      <c r="B158" s="222" t="s">
        <v>3833</v>
      </c>
      <c r="C158" s="28" t="s">
        <v>3997</v>
      </c>
      <c r="D158" s="28" t="s">
        <v>4264</v>
      </c>
      <c r="E158" s="6" t="s">
        <v>234</v>
      </c>
      <c r="F158" s="28" t="s">
        <v>94</v>
      </c>
      <c r="G158" s="222" t="s">
        <v>79</v>
      </c>
      <c r="H158" s="28" t="s">
        <v>608</v>
      </c>
      <c r="I158" s="6" t="s">
        <v>608</v>
      </c>
      <c r="J158" s="28" t="s">
        <v>608</v>
      </c>
      <c r="K158" s="175" t="n">
        <f aca="false">Spec_Rack!G33*0.7</f>
        <v>2520</v>
      </c>
      <c r="L158" s="175" t="n">
        <f aca="false">Spec_Rack!G33*1.3</f>
        <v>4680</v>
      </c>
      <c r="M158" s="28" t="s">
        <v>4125</v>
      </c>
      <c r="N158" s="6" t="s">
        <v>4253</v>
      </c>
      <c r="O158" s="6" t="s">
        <v>608</v>
      </c>
      <c r="P158" s="222" t="s">
        <v>3838</v>
      </c>
      <c r="Q158" s="46" t="n">
        <f aca="false">Spec_Rack!G33</f>
        <v>3600</v>
      </c>
      <c r="R158" s="28" t="s">
        <v>608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3839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1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4265</v>
      </c>
      <c r="B159" s="222" t="s">
        <v>3833</v>
      </c>
      <c r="C159" s="28" t="s">
        <v>3997</v>
      </c>
      <c r="D159" s="28" t="s">
        <v>4266</v>
      </c>
      <c r="E159" s="6" t="s">
        <v>236</v>
      </c>
      <c r="F159" s="28" t="s">
        <v>98</v>
      </c>
      <c r="G159" s="222" t="s">
        <v>3835</v>
      </c>
      <c r="H159" s="28" t="s">
        <v>4267</v>
      </c>
      <c r="I159" s="19" t="s">
        <v>4268</v>
      </c>
      <c r="J159" s="28" t="s">
        <v>608</v>
      </c>
      <c r="K159" s="175" t="n">
        <f aca="false">Spec_Rack!C34*0.7</f>
        <v>21.7</v>
      </c>
      <c r="L159" s="175" t="n">
        <f aca="false">Spec_Rack!C34*1.3</f>
        <v>40.3</v>
      </c>
      <c r="M159" s="28" t="s">
        <v>4269</v>
      </c>
      <c r="N159" s="223" t="str">
        <f aca="false">Spec_Rack!$H$34</f>
        <v>Analogy：HBM3 約 3.9 pJ/bit、HBM3e 約 3、HBM4 約 2.5；區間 ±30%（S29）</v>
      </c>
      <c r="O159" s="6" t="s">
        <v>608</v>
      </c>
      <c r="P159" s="222" t="s">
        <v>3838</v>
      </c>
      <c r="Q159" s="46" t="n">
        <f aca="false">Spec_Rack!C34</f>
        <v>31</v>
      </c>
      <c r="R159" s="175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3839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1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4270</v>
      </c>
      <c r="B160" s="222" t="s">
        <v>3833</v>
      </c>
      <c r="C160" s="28" t="s">
        <v>3997</v>
      </c>
      <c r="D160" s="28" t="s">
        <v>3960</v>
      </c>
      <c r="E160" s="6" t="s">
        <v>236</v>
      </c>
      <c r="F160" s="28" t="s">
        <v>98</v>
      </c>
      <c r="G160" s="222" t="s">
        <v>3835</v>
      </c>
      <c r="H160" s="28" t="s">
        <v>4271</v>
      </c>
      <c r="I160" s="19" t="s">
        <v>4268</v>
      </c>
      <c r="J160" s="28" t="s">
        <v>608</v>
      </c>
      <c r="K160" s="175" t="n">
        <f aca="false">Spec_Rack!D34*0.7</f>
        <v>17.5</v>
      </c>
      <c r="L160" s="175" t="n">
        <f aca="false">Spec_Rack!D34*1.3</f>
        <v>32.5</v>
      </c>
      <c r="M160" s="28" t="s">
        <v>4269</v>
      </c>
      <c r="N160" s="223" t="str">
        <f aca="false">Spec_Rack!$H$34</f>
        <v>Analogy：HBM3 約 3.9 pJ/bit、HBM3e 約 3、HBM4 約 2.5；區間 ±30%（S29）</v>
      </c>
      <c r="O160" s="6" t="s">
        <v>608</v>
      </c>
      <c r="P160" s="222" t="s">
        <v>3838</v>
      </c>
      <c r="Q160" s="46" t="n">
        <f aca="false">Spec_Rack!D34</f>
        <v>25</v>
      </c>
      <c r="R160" s="175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3839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1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4272</v>
      </c>
      <c r="B161" s="222" t="s">
        <v>3833</v>
      </c>
      <c r="C161" s="28" t="s">
        <v>3997</v>
      </c>
      <c r="D161" s="28" t="s">
        <v>3958</v>
      </c>
      <c r="E161" s="6" t="s">
        <v>236</v>
      </c>
      <c r="F161" s="28" t="s">
        <v>98</v>
      </c>
      <c r="G161" s="222" t="s">
        <v>3835</v>
      </c>
      <c r="H161" s="28" t="s">
        <v>4271</v>
      </c>
      <c r="I161" s="19" t="s">
        <v>4268</v>
      </c>
      <c r="J161" s="28" t="s">
        <v>608</v>
      </c>
      <c r="K161" s="175" t="n">
        <f aca="false">Spec_Rack!E34*0.7</f>
        <v>17.5</v>
      </c>
      <c r="L161" s="175" t="n">
        <f aca="false">Spec_Rack!E34*1.3</f>
        <v>32.5</v>
      </c>
      <c r="M161" s="28" t="s">
        <v>4269</v>
      </c>
      <c r="N161" s="223" t="str">
        <f aca="false">Spec_Rack!$H$34</f>
        <v>Analogy：HBM3 約 3.9 pJ/bit、HBM3e 約 3、HBM4 約 2.5；區間 ±30%（S29）</v>
      </c>
      <c r="O161" s="6" t="s">
        <v>608</v>
      </c>
      <c r="P161" s="222" t="s">
        <v>3838</v>
      </c>
      <c r="Q161" s="46" t="n">
        <f aca="false">Spec_Rack!E34</f>
        <v>25</v>
      </c>
      <c r="R161" s="175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3839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1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4273</v>
      </c>
      <c r="B162" s="222" t="s">
        <v>3833</v>
      </c>
      <c r="C162" s="28" t="s">
        <v>3997</v>
      </c>
      <c r="D162" s="28" t="s">
        <v>3962</v>
      </c>
      <c r="E162" s="6" t="s">
        <v>236</v>
      </c>
      <c r="F162" s="222" t="s">
        <v>319</v>
      </c>
      <c r="G162" s="222" t="s">
        <v>3835</v>
      </c>
      <c r="H162" s="28" t="s">
        <v>4274</v>
      </c>
      <c r="I162" s="19" t="s">
        <v>4178</v>
      </c>
      <c r="J162" s="28" t="s">
        <v>608</v>
      </c>
      <c r="K162" s="222"/>
      <c r="L162" s="222"/>
      <c r="M162" s="28" t="s">
        <v>608</v>
      </c>
      <c r="N162" s="19" t="s">
        <v>3973</v>
      </c>
      <c r="O162" s="6" t="s">
        <v>608</v>
      </c>
      <c r="P162" s="222" t="s">
        <v>3838</v>
      </c>
      <c r="Q162" s="46" t="n">
        <f aca="false">Spec_Rack!F34</f>
        <v>20</v>
      </c>
      <c r="R162" s="175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3872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1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4275</v>
      </c>
      <c r="B163" s="222" t="s">
        <v>3833</v>
      </c>
      <c r="C163" s="28" t="s">
        <v>3997</v>
      </c>
      <c r="D163" s="28" t="s">
        <v>4276</v>
      </c>
      <c r="E163" s="6" t="s">
        <v>236</v>
      </c>
      <c r="F163" s="28" t="s">
        <v>94</v>
      </c>
      <c r="G163" s="222" t="s">
        <v>79</v>
      </c>
      <c r="H163" s="28" t="s">
        <v>608</v>
      </c>
      <c r="I163" s="6" t="s">
        <v>608</v>
      </c>
      <c r="J163" s="28" t="s">
        <v>608</v>
      </c>
      <c r="K163" s="175" t="n">
        <f aca="false">Spec_Rack!G34*0.7</f>
        <v>12.6</v>
      </c>
      <c r="L163" s="175" t="n">
        <f aca="false">Spec_Rack!G34*1.3</f>
        <v>23.4</v>
      </c>
      <c r="M163" s="28" t="s">
        <v>4125</v>
      </c>
      <c r="N163" s="6" t="s">
        <v>4253</v>
      </c>
      <c r="O163" s="6" t="s">
        <v>608</v>
      </c>
      <c r="P163" s="222" t="s">
        <v>3838</v>
      </c>
      <c r="Q163" s="46" t="n">
        <f aca="false">Spec_Rack!G34</f>
        <v>18</v>
      </c>
      <c r="R163" s="28" t="s">
        <v>608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3839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1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4277</v>
      </c>
      <c r="B164" s="222" t="s">
        <v>3833</v>
      </c>
      <c r="C164" s="28" t="s">
        <v>3997</v>
      </c>
      <c r="D164" s="28" t="s">
        <v>4278</v>
      </c>
      <c r="E164" s="6" t="s">
        <v>241</v>
      </c>
      <c r="F164" s="222" t="s">
        <v>319</v>
      </c>
      <c r="G164" s="222" t="s">
        <v>3835</v>
      </c>
      <c r="H164" s="28" t="s">
        <v>4279</v>
      </c>
      <c r="I164" s="19" t="s">
        <v>3870</v>
      </c>
      <c r="J164" s="28" t="s">
        <v>608</v>
      </c>
      <c r="K164" s="222"/>
      <c r="L164" s="222"/>
      <c r="M164" s="28" t="s">
        <v>608</v>
      </c>
      <c r="N164" s="19" t="s">
        <v>3973</v>
      </c>
      <c r="O164" s="6" t="s">
        <v>608</v>
      </c>
      <c r="P164" s="222" t="s">
        <v>3838</v>
      </c>
      <c r="Q164" s="43" t="n">
        <f aca="false">Spec_Rack!C39</f>
        <v>0.989</v>
      </c>
      <c r="R164" s="175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3872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1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4280</v>
      </c>
      <c r="B165" s="222" t="s">
        <v>3833</v>
      </c>
      <c r="C165" s="28" t="s">
        <v>3997</v>
      </c>
      <c r="D165" s="28" t="s">
        <v>4281</v>
      </c>
      <c r="E165" s="6" t="s">
        <v>241</v>
      </c>
      <c r="F165" s="222" t="s">
        <v>319</v>
      </c>
      <c r="G165" s="222" t="s">
        <v>3835</v>
      </c>
      <c r="H165" s="28" t="s">
        <v>4282</v>
      </c>
      <c r="I165" s="19" t="s">
        <v>3870</v>
      </c>
      <c r="J165" s="28" t="s">
        <v>608</v>
      </c>
      <c r="K165" s="222"/>
      <c r="L165" s="222"/>
      <c r="M165" s="28" t="s">
        <v>608</v>
      </c>
      <c r="N165" s="19" t="s">
        <v>3973</v>
      </c>
      <c r="O165" s="6" t="s">
        <v>608</v>
      </c>
      <c r="P165" s="222" t="s">
        <v>3838</v>
      </c>
      <c r="Q165" s="43" t="n">
        <f aca="false">Spec_Rack!D39</f>
        <v>2.5</v>
      </c>
      <c r="R165" s="175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3872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1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4283</v>
      </c>
      <c r="B166" s="222" t="s">
        <v>3833</v>
      </c>
      <c r="C166" s="28" t="s">
        <v>3997</v>
      </c>
      <c r="D166" s="28" t="s">
        <v>4284</v>
      </c>
      <c r="E166" s="6" t="s">
        <v>241</v>
      </c>
      <c r="F166" s="222" t="s">
        <v>319</v>
      </c>
      <c r="G166" s="222" t="s">
        <v>3835</v>
      </c>
      <c r="H166" s="28" t="s">
        <v>4282</v>
      </c>
      <c r="I166" s="19" t="s">
        <v>3870</v>
      </c>
      <c r="J166" s="28" t="s">
        <v>608</v>
      </c>
      <c r="K166" s="222"/>
      <c r="L166" s="222"/>
      <c r="M166" s="28" t="s">
        <v>608</v>
      </c>
      <c r="N166" s="19" t="s">
        <v>3973</v>
      </c>
      <c r="O166" s="6" t="s">
        <v>608</v>
      </c>
      <c r="P166" s="222" t="s">
        <v>3838</v>
      </c>
      <c r="Q166" s="43" t="n">
        <f aca="false">Spec_Rack!E39</f>
        <v>2.5</v>
      </c>
      <c r="R166" s="175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3872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1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4285</v>
      </c>
      <c r="B167" s="222" t="s">
        <v>3833</v>
      </c>
      <c r="C167" s="28" t="s">
        <v>3997</v>
      </c>
      <c r="D167" s="28" t="s">
        <v>4286</v>
      </c>
      <c r="E167" s="6" t="s">
        <v>241</v>
      </c>
      <c r="F167" s="222" t="s">
        <v>319</v>
      </c>
      <c r="G167" s="222" t="s">
        <v>3835</v>
      </c>
      <c r="H167" s="28" t="s">
        <v>4287</v>
      </c>
      <c r="I167" s="19" t="s">
        <v>4178</v>
      </c>
      <c r="J167" s="28" t="s">
        <v>608</v>
      </c>
      <c r="K167" s="222"/>
      <c r="L167" s="222"/>
      <c r="M167" s="28" t="s">
        <v>608</v>
      </c>
      <c r="N167" s="19" t="s">
        <v>3973</v>
      </c>
      <c r="O167" s="6" t="s">
        <v>608</v>
      </c>
      <c r="P167" s="222" t="s">
        <v>3838</v>
      </c>
      <c r="Q167" s="43" t="n">
        <f aca="false">Spec_Rack!F39</f>
        <v>4</v>
      </c>
      <c r="R167" s="175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3872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1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4288</v>
      </c>
      <c r="B168" s="222" t="s">
        <v>3833</v>
      </c>
      <c r="C168" s="28" t="s">
        <v>3997</v>
      </c>
      <c r="D168" s="28" t="s">
        <v>4289</v>
      </c>
      <c r="E168" s="6" t="s">
        <v>241</v>
      </c>
      <c r="F168" s="28" t="s">
        <v>94</v>
      </c>
      <c r="G168" s="222" t="s">
        <v>79</v>
      </c>
      <c r="H168" s="28" t="s">
        <v>608</v>
      </c>
      <c r="I168" s="6" t="s">
        <v>608</v>
      </c>
      <c r="J168" s="28" t="s">
        <v>608</v>
      </c>
      <c r="K168" s="175" t="n">
        <f aca="false">Spec_Rack!G39*0.7</f>
        <v>5.6</v>
      </c>
      <c r="L168" s="175" t="n">
        <f aca="false">Spec_Rack!G39*1.3</f>
        <v>10.4</v>
      </c>
      <c r="M168" s="28" t="s">
        <v>4125</v>
      </c>
      <c r="N168" s="6" t="s">
        <v>4253</v>
      </c>
      <c r="O168" s="6" t="s">
        <v>608</v>
      </c>
      <c r="P168" s="222" t="s">
        <v>3838</v>
      </c>
      <c r="Q168" s="43" t="n">
        <f aca="false">Spec_Rack!G39</f>
        <v>8</v>
      </c>
      <c r="R168" s="28" t="s">
        <v>608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3839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1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4290</v>
      </c>
      <c r="B169" s="222" t="s">
        <v>3833</v>
      </c>
      <c r="C169" s="28" t="s">
        <v>3997</v>
      </c>
      <c r="D169" s="28" t="s">
        <v>4291</v>
      </c>
      <c r="E169" s="6" t="s">
        <v>243</v>
      </c>
      <c r="F169" s="222" t="s">
        <v>319</v>
      </c>
      <c r="G169" s="222" t="s">
        <v>3835</v>
      </c>
      <c r="H169" s="28" t="s">
        <v>4114</v>
      </c>
      <c r="I169" s="19" t="s">
        <v>3870</v>
      </c>
      <c r="J169" s="28" t="s">
        <v>608</v>
      </c>
      <c r="K169" s="222"/>
      <c r="L169" s="222"/>
      <c r="M169" s="28" t="s">
        <v>608</v>
      </c>
      <c r="N169" s="19" t="s">
        <v>4062</v>
      </c>
      <c r="O169" s="6" t="s">
        <v>608</v>
      </c>
      <c r="P169" s="222" t="s">
        <v>3838</v>
      </c>
      <c r="Q169" s="43" t="n">
        <f aca="false">Spec_Rack!C40</f>
        <v>1.979</v>
      </c>
      <c r="R169" s="175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3872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1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4292</v>
      </c>
      <c r="B170" s="222" t="s">
        <v>3833</v>
      </c>
      <c r="C170" s="28" t="s">
        <v>3997</v>
      </c>
      <c r="D170" s="28" t="s">
        <v>4293</v>
      </c>
      <c r="E170" s="6" t="s">
        <v>243</v>
      </c>
      <c r="F170" s="222" t="s">
        <v>319</v>
      </c>
      <c r="G170" s="222" t="s">
        <v>3835</v>
      </c>
      <c r="H170" s="28" t="s">
        <v>4294</v>
      </c>
      <c r="I170" s="19" t="s">
        <v>3870</v>
      </c>
      <c r="J170" s="28" t="s">
        <v>608</v>
      </c>
      <c r="K170" s="222"/>
      <c r="L170" s="222"/>
      <c r="M170" s="28" t="s">
        <v>608</v>
      </c>
      <c r="N170" s="19" t="s">
        <v>4062</v>
      </c>
      <c r="O170" s="6" t="s">
        <v>608</v>
      </c>
      <c r="P170" s="222" t="s">
        <v>3838</v>
      </c>
      <c r="Q170" s="43" t="n">
        <f aca="false">Spec_Rack!D40</f>
        <v>5</v>
      </c>
      <c r="R170" s="175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3872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1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4295</v>
      </c>
      <c r="B171" s="222" t="s">
        <v>3833</v>
      </c>
      <c r="C171" s="28" t="s">
        <v>3997</v>
      </c>
      <c r="D171" s="28" t="s">
        <v>4296</v>
      </c>
      <c r="E171" s="6" t="s">
        <v>243</v>
      </c>
      <c r="F171" s="222" t="s">
        <v>319</v>
      </c>
      <c r="G171" s="222" t="s">
        <v>3835</v>
      </c>
      <c r="H171" s="28" t="s">
        <v>4294</v>
      </c>
      <c r="I171" s="19" t="s">
        <v>3870</v>
      </c>
      <c r="J171" s="28" t="s">
        <v>608</v>
      </c>
      <c r="K171" s="222"/>
      <c r="L171" s="222"/>
      <c r="M171" s="28" t="s">
        <v>608</v>
      </c>
      <c r="N171" s="19" t="s">
        <v>4062</v>
      </c>
      <c r="O171" s="6" t="s">
        <v>608</v>
      </c>
      <c r="P171" s="222" t="s">
        <v>3838</v>
      </c>
      <c r="Q171" s="43" t="n">
        <f aca="false">Spec_Rack!E40</f>
        <v>5</v>
      </c>
      <c r="R171" s="175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3872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1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4297</v>
      </c>
      <c r="B172" s="222" t="s">
        <v>3833</v>
      </c>
      <c r="C172" s="28" t="s">
        <v>3997</v>
      </c>
      <c r="D172" s="28" t="s">
        <v>4298</v>
      </c>
      <c r="E172" s="6" t="s">
        <v>243</v>
      </c>
      <c r="F172" s="222" t="s">
        <v>319</v>
      </c>
      <c r="G172" s="222" t="s">
        <v>3835</v>
      </c>
      <c r="H172" s="28" t="s">
        <v>4299</v>
      </c>
      <c r="I172" s="19" t="s">
        <v>4178</v>
      </c>
      <c r="J172" s="28" t="s">
        <v>608</v>
      </c>
      <c r="K172" s="222"/>
      <c r="L172" s="222"/>
      <c r="M172" s="28" t="s">
        <v>608</v>
      </c>
      <c r="N172" s="19" t="s">
        <v>4062</v>
      </c>
      <c r="O172" s="6" t="s">
        <v>608</v>
      </c>
      <c r="P172" s="222" t="s">
        <v>3838</v>
      </c>
      <c r="Q172" s="43" t="n">
        <f aca="false">Spec_Rack!F40</f>
        <v>17.5</v>
      </c>
      <c r="R172" s="175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3872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1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4300</v>
      </c>
      <c r="B173" s="222" t="s">
        <v>3833</v>
      </c>
      <c r="C173" s="28" t="s">
        <v>3997</v>
      </c>
      <c r="D173" s="28" t="s">
        <v>4301</v>
      </c>
      <c r="E173" s="6" t="s">
        <v>243</v>
      </c>
      <c r="F173" s="222" t="s">
        <v>141</v>
      </c>
      <c r="G173" s="222" t="s">
        <v>3835</v>
      </c>
      <c r="H173" s="28" t="s">
        <v>4123</v>
      </c>
      <c r="I173" s="19" t="s">
        <v>4302</v>
      </c>
      <c r="J173" s="28" t="s">
        <v>608</v>
      </c>
      <c r="K173" s="222"/>
      <c r="L173" s="222"/>
      <c r="M173" s="28" t="s">
        <v>608</v>
      </c>
      <c r="N173" s="19" t="s">
        <v>4303</v>
      </c>
      <c r="O173" s="19" t="s">
        <v>4142</v>
      </c>
      <c r="P173" s="222" t="s">
        <v>3838</v>
      </c>
      <c r="Q173" s="43" t="n">
        <f aca="false">Spec_Rack!G40</f>
        <v>35</v>
      </c>
      <c r="R173" s="175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3839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1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4304</v>
      </c>
      <c r="B174" s="222" t="s">
        <v>3833</v>
      </c>
      <c r="C174" s="28" t="s">
        <v>3997</v>
      </c>
      <c r="D174" s="28" t="s">
        <v>4305</v>
      </c>
      <c r="E174" s="6" t="s">
        <v>245</v>
      </c>
      <c r="F174" s="28" t="s">
        <v>3927</v>
      </c>
      <c r="G174" s="222" t="s">
        <v>3835</v>
      </c>
      <c r="H174" s="28" t="s">
        <v>608</v>
      </c>
      <c r="I174" s="6" t="s">
        <v>608</v>
      </c>
      <c r="J174" s="28" t="s">
        <v>608</v>
      </c>
      <c r="K174" s="222"/>
      <c r="L174" s="222"/>
      <c r="M174" s="28" t="s">
        <v>608</v>
      </c>
      <c r="N174" s="6" t="s">
        <v>4306</v>
      </c>
      <c r="O174" s="6" t="s">
        <v>608</v>
      </c>
      <c r="P174" s="222" t="s">
        <v>3838</v>
      </c>
      <c r="Q174" s="43" t="n">
        <f aca="false">Spec_Rack!C41</f>
        <v>1.979</v>
      </c>
      <c r="R174" s="28" t="s">
        <v>608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3931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1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4307</v>
      </c>
      <c r="B175" s="222" t="s">
        <v>3833</v>
      </c>
      <c r="C175" s="28" t="s">
        <v>3997</v>
      </c>
      <c r="D175" s="28" t="s">
        <v>4308</v>
      </c>
      <c r="E175" s="6" t="s">
        <v>245</v>
      </c>
      <c r="F175" s="28" t="s">
        <v>98</v>
      </c>
      <c r="G175" s="222" t="s">
        <v>3835</v>
      </c>
      <c r="H175" s="28" t="s">
        <v>4309</v>
      </c>
      <c r="I175" s="19" t="s">
        <v>4310</v>
      </c>
      <c r="J175" s="28" t="s">
        <v>608</v>
      </c>
      <c r="K175" s="224" t="n">
        <v>5</v>
      </c>
      <c r="L175" s="224" t="n">
        <v>10</v>
      </c>
      <c r="M175" s="28" t="s">
        <v>4311</v>
      </c>
      <c r="N175" s="223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608</v>
      </c>
      <c r="P175" s="222" t="s">
        <v>3838</v>
      </c>
      <c r="Q175" s="43" t="n">
        <f aca="false">Spec_Rack!D41</f>
        <v>10</v>
      </c>
      <c r="R175" s="175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3839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1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4312</v>
      </c>
      <c r="B176" s="222" t="s">
        <v>3833</v>
      </c>
      <c r="C176" s="28" t="s">
        <v>3997</v>
      </c>
      <c r="D176" s="28" t="s">
        <v>4313</v>
      </c>
      <c r="E176" s="6" t="s">
        <v>245</v>
      </c>
      <c r="F176" s="28" t="s">
        <v>94</v>
      </c>
      <c r="G176" s="222" t="s">
        <v>3835</v>
      </c>
      <c r="H176" s="28" t="s">
        <v>608</v>
      </c>
      <c r="I176" s="6" t="s">
        <v>608</v>
      </c>
      <c r="J176" s="28" t="s">
        <v>608</v>
      </c>
      <c r="K176" s="224" t="n">
        <v>10</v>
      </c>
      <c r="L176" s="224" t="n">
        <v>15</v>
      </c>
      <c r="M176" s="28" t="s">
        <v>4314</v>
      </c>
      <c r="N176" s="223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608</v>
      </c>
      <c r="P176" s="222" t="s">
        <v>3838</v>
      </c>
      <c r="Q176" s="43" t="n">
        <f aca="false">Spec_Rack!E41</f>
        <v>15</v>
      </c>
      <c r="R176" s="28" t="s">
        <v>608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3839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1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4315</v>
      </c>
      <c r="B177" s="222" t="s">
        <v>3833</v>
      </c>
      <c r="C177" s="28" t="s">
        <v>3997</v>
      </c>
      <c r="D177" s="28" t="s">
        <v>4316</v>
      </c>
      <c r="E177" s="6" t="s">
        <v>245</v>
      </c>
      <c r="F177" s="222" t="s">
        <v>319</v>
      </c>
      <c r="G177" s="222" t="s">
        <v>3835</v>
      </c>
      <c r="H177" s="28" t="s">
        <v>4309</v>
      </c>
      <c r="I177" s="19" t="s">
        <v>4178</v>
      </c>
      <c r="J177" s="28" t="s">
        <v>608</v>
      </c>
      <c r="K177" s="222"/>
      <c r="L177" s="222"/>
      <c r="M177" s="28" t="s">
        <v>608</v>
      </c>
      <c r="N177" s="19" t="s">
        <v>3973</v>
      </c>
      <c r="O177" s="6" t="s">
        <v>608</v>
      </c>
      <c r="P177" s="222" t="s">
        <v>3838</v>
      </c>
      <c r="Q177" s="43" t="n">
        <f aca="false">Spec_Rack!F41</f>
        <v>35</v>
      </c>
      <c r="R177" s="175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3872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1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4317</v>
      </c>
      <c r="B178" s="222" t="s">
        <v>3833</v>
      </c>
      <c r="C178" s="28" t="s">
        <v>3997</v>
      </c>
      <c r="D178" s="28" t="s">
        <v>4318</v>
      </c>
      <c r="E178" s="6" t="s">
        <v>245</v>
      </c>
      <c r="F178" s="28" t="s">
        <v>94</v>
      </c>
      <c r="G178" s="222" t="s">
        <v>79</v>
      </c>
      <c r="H178" s="28" t="s">
        <v>608</v>
      </c>
      <c r="I178" s="6" t="s">
        <v>608</v>
      </c>
      <c r="J178" s="28" t="s">
        <v>608</v>
      </c>
      <c r="K178" s="175" t="n">
        <f aca="false">Spec_Rack!G41*0.7</f>
        <v>49</v>
      </c>
      <c r="L178" s="175" t="n">
        <f aca="false">Spec_Rack!G41*1.3</f>
        <v>91</v>
      </c>
      <c r="M178" s="28" t="s">
        <v>4125</v>
      </c>
      <c r="N178" s="6" t="s">
        <v>4253</v>
      </c>
      <c r="O178" s="6" t="s">
        <v>608</v>
      </c>
      <c r="P178" s="222" t="s">
        <v>3838</v>
      </c>
      <c r="Q178" s="43" t="n">
        <f aca="false">Spec_Rack!G41</f>
        <v>70</v>
      </c>
      <c r="R178" s="28" t="s">
        <v>608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3839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1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4319</v>
      </c>
      <c r="B179" s="222" t="s">
        <v>3833</v>
      </c>
      <c r="C179" s="28" t="s">
        <v>4320</v>
      </c>
      <c r="D179" s="28" t="s">
        <v>3998</v>
      </c>
      <c r="E179" s="19" t="s">
        <v>257</v>
      </c>
      <c r="F179" s="222" t="s">
        <v>319</v>
      </c>
      <c r="G179" s="222" t="s">
        <v>3835</v>
      </c>
      <c r="H179" s="28" t="s">
        <v>4321</v>
      </c>
      <c r="I179" s="19" t="s">
        <v>3870</v>
      </c>
      <c r="J179" s="28" t="s">
        <v>608</v>
      </c>
      <c r="K179" s="222"/>
      <c r="L179" s="222"/>
      <c r="M179" s="28" t="s">
        <v>608</v>
      </c>
      <c r="N179" s="19" t="s">
        <v>4062</v>
      </c>
      <c r="O179" s="6" t="s">
        <v>608</v>
      </c>
      <c r="P179" s="222" t="s">
        <v>3894</v>
      </c>
      <c r="Q179" s="46" t="n">
        <f aca="false">Arch!C6</f>
        <v>284</v>
      </c>
      <c r="R179" s="175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3872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1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4322</v>
      </c>
      <c r="B180" s="222" t="s">
        <v>3833</v>
      </c>
      <c r="C180" s="28" t="s">
        <v>4320</v>
      </c>
      <c r="D180" s="28" t="s">
        <v>4002</v>
      </c>
      <c r="E180" s="19" t="s">
        <v>257</v>
      </c>
      <c r="F180" s="222" t="s">
        <v>319</v>
      </c>
      <c r="G180" s="222" t="s">
        <v>3835</v>
      </c>
      <c r="H180" s="28" t="s">
        <v>4323</v>
      </c>
      <c r="I180" s="19" t="s">
        <v>3870</v>
      </c>
      <c r="J180" s="28" t="s">
        <v>608</v>
      </c>
      <c r="K180" s="222"/>
      <c r="L180" s="222"/>
      <c r="M180" s="28" t="s">
        <v>608</v>
      </c>
      <c r="N180" s="19" t="s">
        <v>4062</v>
      </c>
      <c r="O180" s="6" t="s">
        <v>608</v>
      </c>
      <c r="P180" s="222" t="s">
        <v>3894</v>
      </c>
      <c r="Q180" s="46" t="n">
        <f aca="false">Arch!D6</f>
        <v>1600</v>
      </c>
      <c r="R180" s="175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3872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1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4324</v>
      </c>
      <c r="B181" s="222" t="s">
        <v>3833</v>
      </c>
      <c r="C181" s="28" t="s">
        <v>4320</v>
      </c>
      <c r="D181" s="28" t="s">
        <v>4325</v>
      </c>
      <c r="E181" s="19" t="s">
        <v>261</v>
      </c>
      <c r="F181" s="222" t="s">
        <v>319</v>
      </c>
      <c r="G181" s="222" t="s">
        <v>3835</v>
      </c>
      <c r="H181" s="28" t="s">
        <v>4326</v>
      </c>
      <c r="I181" s="19" t="s">
        <v>3870</v>
      </c>
      <c r="J181" s="28" t="s">
        <v>608</v>
      </c>
      <c r="K181" s="222"/>
      <c r="L181" s="222"/>
      <c r="M181" s="28" t="s">
        <v>608</v>
      </c>
      <c r="N181" s="19" t="s">
        <v>3973</v>
      </c>
      <c r="O181" s="6" t="s">
        <v>608</v>
      </c>
      <c r="P181" s="222" t="s">
        <v>1138</v>
      </c>
      <c r="Q181" s="46" t="n">
        <f aca="false">Arch!C7</f>
        <v>13</v>
      </c>
      <c r="R181" s="175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3872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1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4327</v>
      </c>
      <c r="B182" s="222" t="s">
        <v>3833</v>
      </c>
      <c r="C182" s="28" t="s">
        <v>4320</v>
      </c>
      <c r="D182" s="28" t="s">
        <v>4328</v>
      </c>
      <c r="E182" s="19" t="s">
        <v>261</v>
      </c>
      <c r="F182" s="222" t="s">
        <v>319</v>
      </c>
      <c r="G182" s="222" t="s">
        <v>3835</v>
      </c>
      <c r="H182" s="28" t="s">
        <v>4329</v>
      </c>
      <c r="I182" s="19" t="s">
        <v>3870</v>
      </c>
      <c r="J182" s="28" t="s">
        <v>608</v>
      </c>
      <c r="K182" s="222"/>
      <c r="L182" s="222"/>
      <c r="M182" s="28" t="s">
        <v>608</v>
      </c>
      <c r="N182" s="19" t="s">
        <v>3973</v>
      </c>
      <c r="O182" s="6" t="s">
        <v>608</v>
      </c>
      <c r="P182" s="222" t="s">
        <v>1138</v>
      </c>
      <c r="Q182" s="46" t="n">
        <f aca="false">Arch!D7</f>
        <v>49</v>
      </c>
      <c r="R182" s="175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3872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1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4330</v>
      </c>
      <c r="B183" s="222" t="s">
        <v>3833</v>
      </c>
      <c r="C183" s="28" t="s">
        <v>4320</v>
      </c>
      <c r="D183" s="28" t="s">
        <v>4011</v>
      </c>
      <c r="E183" s="19" t="s">
        <v>263</v>
      </c>
      <c r="F183" s="222" t="s">
        <v>319</v>
      </c>
      <c r="G183" s="222" t="s">
        <v>3835</v>
      </c>
      <c r="H183" s="28" t="s">
        <v>4331</v>
      </c>
      <c r="I183" s="19" t="s">
        <v>3870</v>
      </c>
      <c r="J183" s="28" t="s">
        <v>608</v>
      </c>
      <c r="K183" s="222"/>
      <c r="L183" s="222"/>
      <c r="M183" s="28" t="s">
        <v>608</v>
      </c>
      <c r="N183" s="19" t="s">
        <v>4062</v>
      </c>
      <c r="O183" s="6" t="s">
        <v>608</v>
      </c>
      <c r="P183" s="222" t="s">
        <v>3894</v>
      </c>
      <c r="Q183" s="46" t="n">
        <f aca="false">Arch!C8</f>
        <v>43</v>
      </c>
      <c r="R183" s="175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3872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1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4332</v>
      </c>
      <c r="B184" s="222" t="s">
        <v>3833</v>
      </c>
      <c r="C184" s="28" t="s">
        <v>4320</v>
      </c>
      <c r="D184" s="28" t="s">
        <v>4014</v>
      </c>
      <c r="E184" s="19" t="s">
        <v>263</v>
      </c>
      <c r="F184" s="222" t="s">
        <v>319</v>
      </c>
      <c r="G184" s="222" t="s">
        <v>3835</v>
      </c>
      <c r="H184" s="28" t="s">
        <v>4333</v>
      </c>
      <c r="I184" s="19" t="s">
        <v>3870</v>
      </c>
      <c r="J184" s="28" t="s">
        <v>608</v>
      </c>
      <c r="K184" s="222"/>
      <c r="L184" s="222"/>
      <c r="M184" s="28" t="s">
        <v>608</v>
      </c>
      <c r="N184" s="19" t="s">
        <v>4062</v>
      </c>
      <c r="O184" s="6" t="s">
        <v>608</v>
      </c>
      <c r="P184" s="222" t="s">
        <v>3894</v>
      </c>
      <c r="Q184" s="46" t="n">
        <f aca="false">Arch!D8</f>
        <v>61</v>
      </c>
      <c r="R184" s="175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3872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1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4334</v>
      </c>
      <c r="B185" s="222" t="s">
        <v>3833</v>
      </c>
      <c r="C185" s="28" t="s">
        <v>4320</v>
      </c>
      <c r="D185" s="28" t="s">
        <v>4056</v>
      </c>
      <c r="E185" s="6" t="s">
        <v>270</v>
      </c>
      <c r="F185" s="222" t="s">
        <v>319</v>
      </c>
      <c r="G185" s="222" t="s">
        <v>3835</v>
      </c>
      <c r="H185" s="28" t="s">
        <v>4335</v>
      </c>
      <c r="I185" s="19" t="s">
        <v>3870</v>
      </c>
      <c r="J185" s="28" t="s">
        <v>608</v>
      </c>
      <c r="K185" s="222"/>
      <c r="L185" s="222"/>
      <c r="M185" s="28" t="s">
        <v>608</v>
      </c>
      <c r="N185" s="19" t="s">
        <v>3973</v>
      </c>
      <c r="O185" s="6" t="s">
        <v>608</v>
      </c>
      <c r="P185" s="222" t="s">
        <v>3894</v>
      </c>
      <c r="Q185" s="46" t="n">
        <f aca="false">Arch!C11</f>
        <v>512</v>
      </c>
      <c r="R185" s="175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3872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1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4336</v>
      </c>
      <c r="B186" s="222" t="s">
        <v>3833</v>
      </c>
      <c r="C186" s="28" t="s">
        <v>4320</v>
      </c>
      <c r="D186" s="28" t="s">
        <v>3860</v>
      </c>
      <c r="E186" s="6" t="s">
        <v>270</v>
      </c>
      <c r="F186" s="222" t="s">
        <v>319</v>
      </c>
      <c r="G186" s="222" t="s">
        <v>3835</v>
      </c>
      <c r="H186" s="28" t="s">
        <v>4335</v>
      </c>
      <c r="I186" s="19" t="s">
        <v>3870</v>
      </c>
      <c r="J186" s="28" t="s">
        <v>608</v>
      </c>
      <c r="K186" s="222"/>
      <c r="L186" s="222"/>
      <c r="M186" s="28" t="s">
        <v>608</v>
      </c>
      <c r="N186" s="19" t="s">
        <v>3973</v>
      </c>
      <c r="O186" s="6" t="s">
        <v>608</v>
      </c>
      <c r="P186" s="222" t="s">
        <v>3894</v>
      </c>
      <c r="Q186" s="46" t="n">
        <f aca="false">Arch!D11</f>
        <v>512</v>
      </c>
      <c r="R186" s="175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3872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1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4337</v>
      </c>
      <c r="B187" s="222" t="s">
        <v>3833</v>
      </c>
      <c r="C187" s="28" t="s">
        <v>4320</v>
      </c>
      <c r="D187" s="28" t="s">
        <v>4077</v>
      </c>
      <c r="E187" s="6" t="s">
        <v>272</v>
      </c>
      <c r="F187" s="222" t="s">
        <v>319</v>
      </c>
      <c r="G187" s="222" t="s">
        <v>3835</v>
      </c>
      <c r="H187" s="28" t="s">
        <v>4338</v>
      </c>
      <c r="I187" s="19" t="s">
        <v>3870</v>
      </c>
      <c r="J187" s="28" t="s">
        <v>608</v>
      </c>
      <c r="K187" s="222"/>
      <c r="L187" s="222"/>
      <c r="M187" s="28" t="s">
        <v>608</v>
      </c>
      <c r="N187" s="19" t="s">
        <v>4062</v>
      </c>
      <c r="O187" s="6" t="s">
        <v>608</v>
      </c>
      <c r="P187" s="222" t="s">
        <v>3894</v>
      </c>
      <c r="Q187" s="46" t="n">
        <f aca="false">Arch!C12</f>
        <v>256</v>
      </c>
      <c r="R187" s="175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3872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1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4339</v>
      </c>
      <c r="B188" s="222" t="s">
        <v>3833</v>
      </c>
      <c r="C188" s="28" t="s">
        <v>4320</v>
      </c>
      <c r="D188" s="28" t="s">
        <v>4081</v>
      </c>
      <c r="E188" s="6" t="s">
        <v>272</v>
      </c>
      <c r="F188" s="222" t="s">
        <v>319</v>
      </c>
      <c r="G188" s="222" t="s">
        <v>3835</v>
      </c>
      <c r="H188" s="28" t="s">
        <v>4340</v>
      </c>
      <c r="I188" s="19" t="s">
        <v>3870</v>
      </c>
      <c r="J188" s="28" t="s">
        <v>608</v>
      </c>
      <c r="K188" s="222"/>
      <c r="L188" s="222"/>
      <c r="M188" s="28" t="s">
        <v>608</v>
      </c>
      <c r="N188" s="19" t="s">
        <v>4062</v>
      </c>
      <c r="O188" s="6" t="s">
        <v>608</v>
      </c>
      <c r="P188" s="222" t="s">
        <v>3894</v>
      </c>
      <c r="Q188" s="46" t="n">
        <f aca="false">Arch!D12</f>
        <v>384</v>
      </c>
      <c r="R188" s="175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3872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1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4341</v>
      </c>
      <c r="B189" s="222" t="s">
        <v>3833</v>
      </c>
      <c r="C189" s="28" t="s">
        <v>4320</v>
      </c>
      <c r="D189" s="28" t="s">
        <v>4097</v>
      </c>
      <c r="E189" s="19" t="s">
        <v>4342</v>
      </c>
      <c r="F189" s="222" t="s">
        <v>319</v>
      </c>
      <c r="G189" s="222" t="s">
        <v>3835</v>
      </c>
      <c r="H189" s="28" t="s">
        <v>4343</v>
      </c>
      <c r="I189" s="19" t="s">
        <v>3870</v>
      </c>
      <c r="J189" s="28" t="s">
        <v>608</v>
      </c>
      <c r="K189" s="222"/>
      <c r="L189" s="222"/>
      <c r="M189" s="28" t="s">
        <v>608</v>
      </c>
      <c r="N189" s="19" t="s">
        <v>4062</v>
      </c>
      <c r="O189" s="6" t="s">
        <v>608</v>
      </c>
      <c r="P189" s="222" t="s">
        <v>3894</v>
      </c>
      <c r="Q189" s="46" t="n">
        <f aca="false">Arch!C13</f>
        <v>6</v>
      </c>
      <c r="R189" s="175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3872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1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4344</v>
      </c>
      <c r="B190" s="222" t="s">
        <v>3833</v>
      </c>
      <c r="C190" s="28" t="s">
        <v>4320</v>
      </c>
      <c r="D190" s="28" t="s">
        <v>3866</v>
      </c>
      <c r="E190" s="19" t="s">
        <v>4342</v>
      </c>
      <c r="F190" s="222" t="s">
        <v>319</v>
      </c>
      <c r="G190" s="222" t="s">
        <v>3835</v>
      </c>
      <c r="H190" s="28" t="s">
        <v>4343</v>
      </c>
      <c r="I190" s="19" t="s">
        <v>3870</v>
      </c>
      <c r="J190" s="28" t="s">
        <v>608</v>
      </c>
      <c r="K190" s="222"/>
      <c r="L190" s="222"/>
      <c r="M190" s="28" t="s">
        <v>608</v>
      </c>
      <c r="N190" s="19" t="s">
        <v>4062</v>
      </c>
      <c r="O190" s="6" t="s">
        <v>608</v>
      </c>
      <c r="P190" s="222" t="s">
        <v>3894</v>
      </c>
      <c r="Q190" s="46" t="n">
        <f aca="false">Arch!D13</f>
        <v>6</v>
      </c>
      <c r="R190" s="175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3872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1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4345</v>
      </c>
      <c r="B191" s="222" t="s">
        <v>3833</v>
      </c>
      <c r="C191" s="28" t="s">
        <v>4320</v>
      </c>
      <c r="D191" s="28" t="s">
        <v>4346</v>
      </c>
      <c r="E191" s="6" t="s">
        <v>274</v>
      </c>
      <c r="F191" s="222" t="s">
        <v>319</v>
      </c>
      <c r="G191" s="222" t="s">
        <v>3835</v>
      </c>
      <c r="H191" s="28" t="s">
        <v>4347</v>
      </c>
      <c r="I191" s="19" t="s">
        <v>3870</v>
      </c>
      <c r="J191" s="28" t="s">
        <v>608</v>
      </c>
      <c r="K191" s="222"/>
      <c r="L191" s="222"/>
      <c r="M191" s="28" t="s">
        <v>608</v>
      </c>
      <c r="N191" s="19" t="s">
        <v>3973</v>
      </c>
      <c r="O191" s="6" t="s">
        <v>608</v>
      </c>
      <c r="P191" s="222" t="s">
        <v>1137</v>
      </c>
      <c r="Q191" s="46" t="n">
        <f aca="false">Arch!C14</f>
        <v>1</v>
      </c>
      <c r="R191" s="175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3872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1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4348</v>
      </c>
      <c r="B192" s="222" t="s">
        <v>3833</v>
      </c>
      <c r="C192" s="28" t="s">
        <v>4320</v>
      </c>
      <c r="D192" s="28" t="s">
        <v>3876</v>
      </c>
      <c r="E192" s="6" t="s">
        <v>274</v>
      </c>
      <c r="F192" s="222" t="s">
        <v>319</v>
      </c>
      <c r="G192" s="222" t="s">
        <v>3835</v>
      </c>
      <c r="H192" s="28" t="s">
        <v>4347</v>
      </c>
      <c r="I192" s="19" t="s">
        <v>3870</v>
      </c>
      <c r="J192" s="28" t="s">
        <v>608</v>
      </c>
      <c r="K192" s="222"/>
      <c r="L192" s="222"/>
      <c r="M192" s="28" t="s">
        <v>608</v>
      </c>
      <c r="N192" s="19" t="s">
        <v>3973</v>
      </c>
      <c r="O192" s="6" t="s">
        <v>608</v>
      </c>
      <c r="P192" s="222" t="s">
        <v>1137</v>
      </c>
      <c r="Q192" s="46" t="n">
        <f aca="false">Arch!D14</f>
        <v>1</v>
      </c>
      <c r="R192" s="175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3872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1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4349</v>
      </c>
      <c r="B193" s="222" t="s">
        <v>3833</v>
      </c>
      <c r="C193" s="28" t="s">
        <v>4320</v>
      </c>
      <c r="D193" s="28" t="s">
        <v>4350</v>
      </c>
      <c r="E193" s="6" t="s">
        <v>275</v>
      </c>
      <c r="F193" s="222" t="s">
        <v>319</v>
      </c>
      <c r="G193" s="222" t="s">
        <v>3835</v>
      </c>
      <c r="H193" s="28" t="s">
        <v>4351</v>
      </c>
      <c r="I193" s="19" t="s">
        <v>3870</v>
      </c>
      <c r="J193" s="28" t="s">
        <v>608</v>
      </c>
      <c r="K193" s="222"/>
      <c r="L193" s="222"/>
      <c r="M193" s="28" t="s">
        <v>608</v>
      </c>
      <c r="N193" s="19" t="s">
        <v>3973</v>
      </c>
      <c r="O193" s="6" t="s">
        <v>608</v>
      </c>
      <c r="P193" s="222" t="s">
        <v>3838</v>
      </c>
      <c r="Q193" s="46" t="n">
        <f aca="false">Arch!C15</f>
        <v>129280</v>
      </c>
      <c r="R193" s="175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3872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1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4352</v>
      </c>
      <c r="B194" s="222" t="s">
        <v>3833</v>
      </c>
      <c r="C194" s="28" t="s">
        <v>4320</v>
      </c>
      <c r="D194" s="28" t="s">
        <v>4353</v>
      </c>
      <c r="E194" s="6" t="s">
        <v>275</v>
      </c>
      <c r="F194" s="222" t="s">
        <v>319</v>
      </c>
      <c r="G194" s="222" t="s">
        <v>3835</v>
      </c>
      <c r="H194" s="28" t="s">
        <v>4351</v>
      </c>
      <c r="I194" s="19" t="s">
        <v>3870</v>
      </c>
      <c r="J194" s="28" t="s">
        <v>608</v>
      </c>
      <c r="K194" s="222"/>
      <c r="L194" s="222"/>
      <c r="M194" s="28" t="s">
        <v>608</v>
      </c>
      <c r="N194" s="19" t="s">
        <v>3973</v>
      </c>
      <c r="O194" s="6" t="s">
        <v>608</v>
      </c>
      <c r="P194" s="222" t="s">
        <v>3838</v>
      </c>
      <c r="Q194" s="46" t="n">
        <f aca="false">Arch!D15</f>
        <v>129280</v>
      </c>
      <c r="R194" s="175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3872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1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4354</v>
      </c>
      <c r="B195" s="222" t="s">
        <v>3833</v>
      </c>
      <c r="C195" s="28" t="s">
        <v>4320</v>
      </c>
      <c r="D195" s="28" t="s">
        <v>4355</v>
      </c>
      <c r="E195" s="19" t="s">
        <v>276</v>
      </c>
      <c r="F195" s="222" t="s">
        <v>319</v>
      </c>
      <c r="G195" s="222" t="s">
        <v>3835</v>
      </c>
      <c r="H195" s="28" t="s">
        <v>4356</v>
      </c>
      <c r="I195" s="19" t="s">
        <v>3870</v>
      </c>
      <c r="J195" s="28" t="s">
        <v>608</v>
      </c>
      <c r="K195" s="222"/>
      <c r="L195" s="222"/>
      <c r="M195" s="28" t="s">
        <v>608</v>
      </c>
      <c r="N195" s="19" t="s">
        <v>3973</v>
      </c>
      <c r="O195" s="6" t="s">
        <v>608</v>
      </c>
      <c r="P195" s="222" t="s">
        <v>3894</v>
      </c>
      <c r="Q195" s="185" t="n">
        <f aca="false">Arch!C16</f>
        <v>0.512</v>
      </c>
      <c r="R195" s="175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3872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1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4357</v>
      </c>
      <c r="B196" s="222" t="s">
        <v>3833</v>
      </c>
      <c r="C196" s="28" t="s">
        <v>4320</v>
      </c>
      <c r="D196" s="28" t="s">
        <v>3882</v>
      </c>
      <c r="E196" s="19" t="s">
        <v>276</v>
      </c>
      <c r="F196" s="222" t="s">
        <v>319</v>
      </c>
      <c r="G196" s="222" t="s">
        <v>3835</v>
      </c>
      <c r="H196" s="28" t="s">
        <v>4356</v>
      </c>
      <c r="I196" s="19" t="s">
        <v>3870</v>
      </c>
      <c r="J196" s="28" t="s">
        <v>608</v>
      </c>
      <c r="K196" s="222"/>
      <c r="L196" s="222"/>
      <c r="M196" s="28" t="s">
        <v>608</v>
      </c>
      <c r="N196" s="19" t="s">
        <v>3973</v>
      </c>
      <c r="O196" s="6" t="s">
        <v>608</v>
      </c>
      <c r="P196" s="222" t="s">
        <v>3894</v>
      </c>
      <c r="Q196" s="185" t="n">
        <f aca="false">Arch!D16</f>
        <v>0.492</v>
      </c>
      <c r="R196" s="175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3872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1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4358</v>
      </c>
      <c r="B197" s="222" t="s">
        <v>3833</v>
      </c>
      <c r="C197" s="28" t="s">
        <v>4320</v>
      </c>
      <c r="D197" s="28" t="s">
        <v>4359</v>
      </c>
      <c r="E197" s="19" t="s">
        <v>281</v>
      </c>
      <c r="F197" s="222" t="s">
        <v>319</v>
      </c>
      <c r="G197" s="222" t="s">
        <v>3835</v>
      </c>
      <c r="H197" s="28" t="s">
        <v>4360</v>
      </c>
      <c r="I197" s="19" t="s">
        <v>3870</v>
      </c>
      <c r="J197" s="28" t="s">
        <v>608</v>
      </c>
      <c r="K197" s="222"/>
      <c r="L197" s="222"/>
      <c r="M197" s="28" t="s">
        <v>608</v>
      </c>
      <c r="N197" s="19" t="s">
        <v>3973</v>
      </c>
      <c r="O197" s="6" t="s">
        <v>608</v>
      </c>
      <c r="P197" s="222" t="s">
        <v>1137</v>
      </c>
      <c r="Q197" s="46" t="n">
        <f aca="false">Arch!C18</f>
        <v>128</v>
      </c>
      <c r="R197" s="175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3872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1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4361</v>
      </c>
      <c r="B198" s="222" t="s">
        <v>3833</v>
      </c>
      <c r="C198" s="28" t="s">
        <v>4320</v>
      </c>
      <c r="D198" s="28" t="s">
        <v>3896</v>
      </c>
      <c r="E198" s="19" t="s">
        <v>281</v>
      </c>
      <c r="F198" s="222" t="s">
        <v>319</v>
      </c>
      <c r="G198" s="222" t="s">
        <v>3835</v>
      </c>
      <c r="H198" s="28" t="s">
        <v>4360</v>
      </c>
      <c r="I198" s="19" t="s">
        <v>3870</v>
      </c>
      <c r="J198" s="28" t="s">
        <v>608</v>
      </c>
      <c r="K198" s="222"/>
      <c r="L198" s="222"/>
      <c r="M198" s="28" t="s">
        <v>608</v>
      </c>
      <c r="N198" s="19" t="s">
        <v>3973</v>
      </c>
      <c r="O198" s="6" t="s">
        <v>608</v>
      </c>
      <c r="P198" s="222" t="s">
        <v>1137</v>
      </c>
      <c r="Q198" s="46" t="n">
        <f aca="false">Arch!D18</f>
        <v>128</v>
      </c>
      <c r="R198" s="175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3872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1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4362</v>
      </c>
      <c r="B199" s="222" t="s">
        <v>3833</v>
      </c>
      <c r="C199" s="28" t="s">
        <v>4320</v>
      </c>
      <c r="D199" s="28" t="s">
        <v>4363</v>
      </c>
      <c r="E199" s="19" t="s">
        <v>283</v>
      </c>
      <c r="F199" s="222" t="s">
        <v>319</v>
      </c>
      <c r="G199" s="222" t="s">
        <v>3835</v>
      </c>
      <c r="H199" s="28" t="s">
        <v>4364</v>
      </c>
      <c r="I199" s="19" t="s">
        <v>3870</v>
      </c>
      <c r="J199" s="28" t="s">
        <v>608</v>
      </c>
      <c r="K199" s="222"/>
      <c r="L199" s="222"/>
      <c r="M199" s="28" t="s">
        <v>608</v>
      </c>
      <c r="N199" s="19" t="s">
        <v>3973</v>
      </c>
      <c r="O199" s="6" t="s">
        <v>608</v>
      </c>
      <c r="P199" s="222" t="s">
        <v>1137</v>
      </c>
      <c r="Q199" s="46" t="n">
        <f aca="false">Arch!C19</f>
        <v>128</v>
      </c>
      <c r="R199" s="175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3872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1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4365</v>
      </c>
      <c r="B200" s="222" t="s">
        <v>3833</v>
      </c>
      <c r="C200" s="28" t="s">
        <v>4320</v>
      </c>
      <c r="D200" s="28" t="s">
        <v>3902</v>
      </c>
      <c r="E200" s="19" t="s">
        <v>283</v>
      </c>
      <c r="F200" s="222" t="s">
        <v>319</v>
      </c>
      <c r="G200" s="222" t="s">
        <v>3835</v>
      </c>
      <c r="H200" s="28" t="s">
        <v>4364</v>
      </c>
      <c r="I200" s="19" t="s">
        <v>3870</v>
      </c>
      <c r="J200" s="28" t="s">
        <v>608</v>
      </c>
      <c r="K200" s="222"/>
      <c r="L200" s="222"/>
      <c r="M200" s="28" t="s">
        <v>608</v>
      </c>
      <c r="N200" s="19" t="s">
        <v>3973</v>
      </c>
      <c r="O200" s="6" t="s">
        <v>608</v>
      </c>
      <c r="P200" s="222" t="s">
        <v>1137</v>
      </c>
      <c r="Q200" s="46" t="n">
        <f aca="false">Arch!D19</f>
        <v>128</v>
      </c>
      <c r="R200" s="175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3872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1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4366</v>
      </c>
      <c r="B201" s="222" t="s">
        <v>3833</v>
      </c>
      <c r="C201" s="28" t="s">
        <v>4320</v>
      </c>
      <c r="D201" s="28" t="s">
        <v>3848</v>
      </c>
      <c r="E201" s="6" t="s">
        <v>266</v>
      </c>
      <c r="F201" s="222" t="s">
        <v>319</v>
      </c>
      <c r="G201" s="222" t="s">
        <v>3835</v>
      </c>
      <c r="H201" s="28" t="s">
        <v>4367</v>
      </c>
      <c r="I201" s="19" t="s">
        <v>3870</v>
      </c>
      <c r="J201" s="28" t="s">
        <v>608</v>
      </c>
      <c r="K201" s="222"/>
      <c r="L201" s="222"/>
      <c r="M201" s="28" t="s">
        <v>608</v>
      </c>
      <c r="N201" s="19" t="s">
        <v>3973</v>
      </c>
      <c r="O201" s="6" t="s">
        <v>608</v>
      </c>
      <c r="P201" s="222" t="s">
        <v>3838</v>
      </c>
      <c r="Q201" s="46" t="n">
        <f aca="false">Arch!D9</f>
        <v>7168</v>
      </c>
      <c r="R201" s="175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3872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1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4368</v>
      </c>
      <c r="B202" s="222" t="s">
        <v>3833</v>
      </c>
      <c r="C202" s="28" t="s">
        <v>4320</v>
      </c>
      <c r="D202" s="28" t="s">
        <v>3853</v>
      </c>
      <c r="E202" s="6" t="s">
        <v>268</v>
      </c>
      <c r="F202" s="222" t="s">
        <v>319</v>
      </c>
      <c r="G202" s="222" t="s">
        <v>3835</v>
      </c>
      <c r="H202" s="28" t="s">
        <v>4369</v>
      </c>
      <c r="I202" s="19" t="s">
        <v>3870</v>
      </c>
      <c r="J202" s="28" t="s">
        <v>608</v>
      </c>
      <c r="K202" s="222"/>
      <c r="L202" s="222"/>
      <c r="M202" s="28" t="s">
        <v>608</v>
      </c>
      <c r="N202" s="19" t="s">
        <v>3973</v>
      </c>
      <c r="O202" s="6" t="s">
        <v>608</v>
      </c>
      <c r="P202" s="222" t="s">
        <v>3894</v>
      </c>
      <c r="Q202" s="46" t="n">
        <f aca="false">Arch!D10</f>
        <v>128</v>
      </c>
      <c r="R202" s="175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3872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1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4370</v>
      </c>
      <c r="B203" s="222" t="s">
        <v>3833</v>
      </c>
      <c r="C203" s="28" t="s">
        <v>4320</v>
      </c>
      <c r="D203" s="28" t="s">
        <v>4025</v>
      </c>
      <c r="E203" s="6" t="s">
        <v>266</v>
      </c>
      <c r="F203" s="222" t="s">
        <v>319</v>
      </c>
      <c r="G203" s="222" t="s">
        <v>3835</v>
      </c>
      <c r="H203" s="28" t="s">
        <v>4371</v>
      </c>
      <c r="I203" s="19" t="s">
        <v>3870</v>
      </c>
      <c r="J203" s="28" t="s">
        <v>608</v>
      </c>
      <c r="K203" s="222"/>
      <c r="L203" s="222"/>
      <c r="M203" s="28" t="s">
        <v>608</v>
      </c>
      <c r="N203" s="19" t="s">
        <v>4372</v>
      </c>
      <c r="O203" s="6" t="s">
        <v>608</v>
      </c>
      <c r="P203" s="222" t="s">
        <v>3838</v>
      </c>
      <c r="Q203" s="46" t="n">
        <f aca="false">Arch!C9</f>
        <v>4096</v>
      </c>
      <c r="R203" s="175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3872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1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4373</v>
      </c>
      <c r="B204" s="222" t="s">
        <v>3833</v>
      </c>
      <c r="C204" s="28" t="s">
        <v>4320</v>
      </c>
      <c r="D204" s="28" t="s">
        <v>4045</v>
      </c>
      <c r="E204" s="6" t="s">
        <v>268</v>
      </c>
      <c r="F204" s="222" t="s">
        <v>319</v>
      </c>
      <c r="G204" s="222" t="s">
        <v>3835</v>
      </c>
      <c r="H204" s="28" t="s">
        <v>4374</v>
      </c>
      <c r="I204" s="19" t="s">
        <v>3870</v>
      </c>
      <c r="J204" s="28" t="s">
        <v>608</v>
      </c>
      <c r="K204" s="224"/>
      <c r="L204" s="224"/>
      <c r="M204" s="28" t="s">
        <v>608</v>
      </c>
      <c r="N204" s="223" t="str">
        <f aca="false">Arch!$G$10</f>
        <v>V4-Pro 128；V4-Flash 64（官方 config.json num_attention_heads，v5.13 讀原文）；Astra [Assumed]</v>
      </c>
      <c r="O204" s="6" t="s">
        <v>4375</v>
      </c>
      <c r="P204" s="222" t="s">
        <v>3894</v>
      </c>
      <c r="Q204" s="46" t="n">
        <f aca="false">Arch!C10</f>
        <v>64</v>
      </c>
      <c r="R204" s="175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3872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1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4376</v>
      </c>
      <c r="B205" s="222" t="s">
        <v>3833</v>
      </c>
      <c r="C205" s="28" t="s">
        <v>4320</v>
      </c>
      <c r="D205" s="28" t="s">
        <v>4377</v>
      </c>
      <c r="E205" s="19" t="s">
        <v>4378</v>
      </c>
      <c r="F205" s="222" t="s">
        <v>319</v>
      </c>
      <c r="G205" s="222" t="s">
        <v>3835</v>
      </c>
      <c r="H205" s="28" t="s">
        <v>4379</v>
      </c>
      <c r="I205" s="19" t="s">
        <v>4178</v>
      </c>
      <c r="J205" s="28" t="s">
        <v>608</v>
      </c>
      <c r="K205" s="222"/>
      <c r="L205" s="222"/>
      <c r="M205" s="28" t="s">
        <v>608</v>
      </c>
      <c r="N205" s="19" t="s">
        <v>3973</v>
      </c>
      <c r="O205" s="6" t="s">
        <v>608</v>
      </c>
      <c r="P205" s="222" t="s">
        <v>3838</v>
      </c>
      <c r="Q205" s="46" t="n">
        <f aca="false">Arch!C17</f>
        <v>4224</v>
      </c>
      <c r="R205" s="175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3872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1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4380</v>
      </c>
      <c r="B206" s="222" t="s">
        <v>3833</v>
      </c>
      <c r="C206" s="28" t="s">
        <v>4320</v>
      </c>
      <c r="D206" s="28" t="s">
        <v>3888</v>
      </c>
      <c r="E206" s="19" t="s">
        <v>4378</v>
      </c>
      <c r="F206" s="222" t="s">
        <v>319</v>
      </c>
      <c r="G206" s="222" t="s">
        <v>3835</v>
      </c>
      <c r="H206" s="28" t="s">
        <v>4379</v>
      </c>
      <c r="I206" s="19" t="s">
        <v>4178</v>
      </c>
      <c r="J206" s="28" t="s">
        <v>608</v>
      </c>
      <c r="K206" s="222"/>
      <c r="L206" s="222"/>
      <c r="M206" s="28" t="s">
        <v>608</v>
      </c>
      <c r="N206" s="19" t="s">
        <v>3973</v>
      </c>
      <c r="O206" s="6" t="s">
        <v>608</v>
      </c>
      <c r="P206" s="222" t="s">
        <v>3838</v>
      </c>
      <c r="Q206" s="46" t="n">
        <f aca="false">Arch!D17</f>
        <v>4224</v>
      </c>
      <c r="R206" s="175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3872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1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4381</v>
      </c>
      <c r="B207" s="222" t="s">
        <v>3833</v>
      </c>
      <c r="C207" s="28" t="s">
        <v>4320</v>
      </c>
      <c r="D207" s="28" t="s">
        <v>3686</v>
      </c>
      <c r="E207" s="19" t="s">
        <v>257</v>
      </c>
      <c r="F207" s="28" t="s">
        <v>94</v>
      </c>
      <c r="G207" s="222" t="s">
        <v>3835</v>
      </c>
      <c r="H207" s="28" t="s">
        <v>608</v>
      </c>
      <c r="I207" s="6" t="s">
        <v>608</v>
      </c>
      <c r="J207" s="28" t="s">
        <v>608</v>
      </c>
      <c r="K207" s="224" t="n">
        <v>2000</v>
      </c>
      <c r="L207" s="224" t="n">
        <v>10000</v>
      </c>
      <c r="M207" s="28" t="s">
        <v>4382</v>
      </c>
      <c r="N207" s="223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608</v>
      </c>
      <c r="P207" s="222" t="s">
        <v>1138</v>
      </c>
      <c r="Q207" s="46" t="n">
        <f aca="false">Arch!E6</f>
        <v>4000</v>
      </c>
      <c r="R207" s="28" t="s">
        <v>608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3839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1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4383</v>
      </c>
      <c r="B208" s="222" t="s">
        <v>3833</v>
      </c>
      <c r="C208" s="28" t="s">
        <v>4320</v>
      </c>
      <c r="D208" s="28" t="s">
        <v>3689</v>
      </c>
      <c r="E208" s="19" t="s">
        <v>261</v>
      </c>
      <c r="F208" s="28" t="s">
        <v>94</v>
      </c>
      <c r="G208" s="222" t="s">
        <v>3835</v>
      </c>
      <c r="H208" s="28" t="s">
        <v>608</v>
      </c>
      <c r="I208" s="6" t="s">
        <v>608</v>
      </c>
      <c r="J208" s="28" t="s">
        <v>608</v>
      </c>
      <c r="K208" s="224" t="n">
        <v>60</v>
      </c>
      <c r="L208" s="224" t="n">
        <v>250</v>
      </c>
      <c r="M208" s="28" t="s">
        <v>4384</v>
      </c>
      <c r="N208" s="223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608</v>
      </c>
      <c r="P208" s="222" t="s">
        <v>1138</v>
      </c>
      <c r="Q208" s="46" t="n">
        <f aca="false">Arch!E7</f>
        <v>180</v>
      </c>
      <c r="R208" s="28" t="s">
        <v>608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3839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1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4385</v>
      </c>
      <c r="B209" s="222" t="s">
        <v>3833</v>
      </c>
      <c r="C209" s="28" t="s">
        <v>4320</v>
      </c>
      <c r="D209" s="28" t="s">
        <v>3692</v>
      </c>
      <c r="E209" s="19" t="s">
        <v>263</v>
      </c>
      <c r="F209" s="28" t="s">
        <v>94</v>
      </c>
      <c r="G209" s="222" t="s">
        <v>3835</v>
      </c>
      <c r="H209" s="28" t="s">
        <v>608</v>
      </c>
      <c r="I209" s="6" t="s">
        <v>608</v>
      </c>
      <c r="J209" s="28" t="s">
        <v>608</v>
      </c>
      <c r="K209" s="224" t="n">
        <v>80</v>
      </c>
      <c r="L209" s="224" t="n">
        <v>160</v>
      </c>
      <c r="M209" s="28" t="s">
        <v>4386</v>
      </c>
      <c r="N209" s="6" t="s">
        <v>4387</v>
      </c>
      <c r="O209" s="6" t="s">
        <v>608</v>
      </c>
      <c r="P209" s="222" t="s">
        <v>1138</v>
      </c>
      <c r="Q209" s="46" t="n">
        <f aca="false">Arch!E8</f>
        <v>100</v>
      </c>
      <c r="R209" s="28" t="s">
        <v>608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3839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1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4388</v>
      </c>
      <c r="B210" s="222" t="s">
        <v>3833</v>
      </c>
      <c r="C210" s="28" t="s">
        <v>4320</v>
      </c>
      <c r="D210" s="28" t="s">
        <v>3695</v>
      </c>
      <c r="E210" s="6" t="s">
        <v>266</v>
      </c>
      <c r="F210" s="28" t="s">
        <v>94</v>
      </c>
      <c r="G210" s="222" t="s">
        <v>3835</v>
      </c>
      <c r="H210" s="28" t="s">
        <v>608</v>
      </c>
      <c r="I210" s="6" t="s">
        <v>608</v>
      </c>
      <c r="J210" s="28" t="s">
        <v>608</v>
      </c>
      <c r="K210" s="224" t="n">
        <v>8192</v>
      </c>
      <c r="L210" s="224" t="n">
        <v>16384</v>
      </c>
      <c r="M210" s="28" t="s">
        <v>4389</v>
      </c>
      <c r="N210" s="6" t="s">
        <v>4390</v>
      </c>
      <c r="O210" s="6" t="s">
        <v>608</v>
      </c>
      <c r="P210" s="222" t="s">
        <v>3838</v>
      </c>
      <c r="Q210" s="46" t="n">
        <f aca="false">Arch!E9</f>
        <v>12288</v>
      </c>
      <c r="R210" s="28" t="s">
        <v>608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3839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1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4391</v>
      </c>
      <c r="B211" s="222" t="s">
        <v>3833</v>
      </c>
      <c r="C211" s="28" t="s">
        <v>4320</v>
      </c>
      <c r="D211" s="28" t="s">
        <v>3698</v>
      </c>
      <c r="E211" s="6" t="s">
        <v>268</v>
      </c>
      <c r="F211" s="28" t="s">
        <v>94</v>
      </c>
      <c r="G211" s="222" t="s">
        <v>3835</v>
      </c>
      <c r="H211" s="28" t="s">
        <v>608</v>
      </c>
      <c r="I211" s="6" t="s">
        <v>608</v>
      </c>
      <c r="J211" s="28" t="s">
        <v>608</v>
      </c>
      <c r="K211" s="224" t="n">
        <v>64</v>
      </c>
      <c r="L211" s="224" t="n">
        <v>128</v>
      </c>
      <c r="M211" s="28" t="s">
        <v>4392</v>
      </c>
      <c r="N211" s="6" t="s">
        <v>4390</v>
      </c>
      <c r="O211" s="6" t="s">
        <v>608</v>
      </c>
      <c r="P211" s="222" t="s">
        <v>3894</v>
      </c>
      <c r="Q211" s="46" t="n">
        <f aca="false">Arch!E10</f>
        <v>96</v>
      </c>
      <c r="R211" s="28" t="s">
        <v>608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3839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1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4393</v>
      </c>
      <c r="B212" s="222" t="s">
        <v>3833</v>
      </c>
      <c r="C212" s="28" t="s">
        <v>4320</v>
      </c>
      <c r="D212" s="28" t="s">
        <v>3701</v>
      </c>
      <c r="E212" s="6" t="s">
        <v>270</v>
      </c>
      <c r="F212" s="28" t="s">
        <v>94</v>
      </c>
      <c r="G212" s="222" t="s">
        <v>3835</v>
      </c>
      <c r="H212" s="28" t="s">
        <v>608</v>
      </c>
      <c r="I212" s="6" t="s">
        <v>608</v>
      </c>
      <c r="J212" s="28" t="s">
        <v>608</v>
      </c>
      <c r="K212" s="224" t="n">
        <v>128</v>
      </c>
      <c r="L212" s="224" t="n">
        <v>192</v>
      </c>
      <c r="M212" s="28" t="s">
        <v>4394</v>
      </c>
      <c r="N212" s="6" t="s">
        <v>4390</v>
      </c>
      <c r="O212" s="6" t="s">
        <v>608</v>
      </c>
      <c r="P212" s="222" t="s">
        <v>3894</v>
      </c>
      <c r="Q212" s="46" t="n">
        <f aca="false">Arch!E11</f>
        <v>128</v>
      </c>
      <c r="R212" s="28" t="s">
        <v>608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3839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1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4395</v>
      </c>
      <c r="B213" s="222" t="s">
        <v>3833</v>
      </c>
      <c r="C213" s="28" t="s">
        <v>4320</v>
      </c>
      <c r="D213" s="28" t="s">
        <v>3704</v>
      </c>
      <c r="E213" s="6" t="s">
        <v>272</v>
      </c>
      <c r="F213" s="28" t="s">
        <v>94</v>
      </c>
      <c r="G213" s="222" t="s">
        <v>3835</v>
      </c>
      <c r="H213" s="28" t="s">
        <v>608</v>
      </c>
      <c r="I213" s="6" t="s">
        <v>608</v>
      </c>
      <c r="J213" s="28" t="s">
        <v>608</v>
      </c>
      <c r="K213" s="224" t="n">
        <v>256</v>
      </c>
      <c r="L213" s="224" t="n">
        <v>1024</v>
      </c>
      <c r="M213" s="28" t="s">
        <v>4396</v>
      </c>
      <c r="N213" s="6" t="s">
        <v>4397</v>
      </c>
      <c r="O213" s="6" t="s">
        <v>608</v>
      </c>
      <c r="P213" s="222" t="s">
        <v>3894</v>
      </c>
      <c r="Q213" s="46" t="n">
        <f aca="false">Arch!E12</f>
        <v>512</v>
      </c>
      <c r="R213" s="28" t="s">
        <v>608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3839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1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4398</v>
      </c>
      <c r="B214" s="222" t="s">
        <v>3833</v>
      </c>
      <c r="C214" s="28" t="s">
        <v>4320</v>
      </c>
      <c r="D214" s="28" t="s">
        <v>3706</v>
      </c>
      <c r="E214" s="19" t="s">
        <v>4342</v>
      </c>
      <c r="F214" s="28" t="s">
        <v>94</v>
      </c>
      <c r="G214" s="222" t="s">
        <v>3835</v>
      </c>
      <c r="H214" s="28" t="s">
        <v>608</v>
      </c>
      <c r="I214" s="6" t="s">
        <v>608</v>
      </c>
      <c r="J214" s="28" t="s">
        <v>608</v>
      </c>
      <c r="K214" s="224" t="n">
        <v>8</v>
      </c>
      <c r="L214" s="224" t="n">
        <v>32</v>
      </c>
      <c r="M214" s="28" t="s">
        <v>4399</v>
      </c>
      <c r="N214" s="6" t="s">
        <v>4397</v>
      </c>
      <c r="O214" s="6" t="s">
        <v>608</v>
      </c>
      <c r="P214" s="222" t="s">
        <v>3894</v>
      </c>
      <c r="Q214" s="46" t="n">
        <f aca="false">Arch!E13</f>
        <v>16</v>
      </c>
      <c r="R214" s="28" t="s">
        <v>608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3839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1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4400</v>
      </c>
      <c r="B215" s="222" t="s">
        <v>3833</v>
      </c>
      <c r="C215" s="28" t="s">
        <v>4320</v>
      </c>
      <c r="D215" s="28" t="s">
        <v>4401</v>
      </c>
      <c r="E215" s="6" t="s">
        <v>275</v>
      </c>
      <c r="F215" s="28" t="s">
        <v>94</v>
      </c>
      <c r="G215" s="222" t="s">
        <v>3835</v>
      </c>
      <c r="H215" s="28" t="s">
        <v>608</v>
      </c>
      <c r="I215" s="6" t="s">
        <v>608</v>
      </c>
      <c r="J215" s="28" t="s">
        <v>608</v>
      </c>
      <c r="K215" s="224" t="n">
        <v>128000</v>
      </c>
      <c r="L215" s="224" t="n">
        <v>262144</v>
      </c>
      <c r="M215" s="28" t="s">
        <v>4402</v>
      </c>
      <c r="N215" s="6" t="s">
        <v>4390</v>
      </c>
      <c r="O215" s="6" t="s">
        <v>608</v>
      </c>
      <c r="P215" s="222" t="s">
        <v>3838</v>
      </c>
      <c r="Q215" s="46" t="n">
        <f aca="false">Arch!E15</f>
        <v>200000</v>
      </c>
      <c r="R215" s="28" t="s">
        <v>608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3839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1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4403</v>
      </c>
      <c r="B216" s="222" t="s">
        <v>3833</v>
      </c>
      <c r="C216" s="28" t="s">
        <v>4320</v>
      </c>
      <c r="D216" s="28" t="s">
        <v>3874</v>
      </c>
      <c r="E216" s="6" t="s">
        <v>274</v>
      </c>
      <c r="F216" s="28" t="s">
        <v>94</v>
      </c>
      <c r="G216" s="222" t="s">
        <v>3835</v>
      </c>
      <c r="H216" s="28" t="s">
        <v>608</v>
      </c>
      <c r="I216" s="6" t="s">
        <v>608</v>
      </c>
      <c r="J216" s="28" t="s">
        <v>608</v>
      </c>
      <c r="K216" s="222"/>
      <c r="L216" s="222"/>
      <c r="M216" s="222" t="s">
        <v>3731</v>
      </c>
      <c r="N216" s="6" t="s">
        <v>4404</v>
      </c>
      <c r="O216" s="6" t="s">
        <v>608</v>
      </c>
      <c r="P216" s="222" t="s">
        <v>1137</v>
      </c>
      <c r="Q216" s="46" t="n">
        <f aca="false">Arch!E14</f>
        <v>1</v>
      </c>
      <c r="R216" s="28" t="s">
        <v>608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3839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1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4405</v>
      </c>
      <c r="B217" s="222" t="s">
        <v>3833</v>
      </c>
      <c r="C217" s="28" t="s">
        <v>4320</v>
      </c>
      <c r="D217" s="28" t="s">
        <v>3880</v>
      </c>
      <c r="E217" s="19" t="s">
        <v>276</v>
      </c>
      <c r="F217" s="28" t="s">
        <v>94</v>
      </c>
      <c r="G217" s="222" t="s">
        <v>3835</v>
      </c>
      <c r="H217" s="28" t="s">
        <v>608</v>
      </c>
      <c r="I217" s="6" t="s">
        <v>608</v>
      </c>
      <c r="J217" s="28" t="s">
        <v>608</v>
      </c>
      <c r="K217" s="222"/>
      <c r="L217" s="222"/>
      <c r="M217" s="222" t="s">
        <v>3731</v>
      </c>
      <c r="N217" s="6" t="s">
        <v>4406</v>
      </c>
      <c r="O217" s="6" t="s">
        <v>608</v>
      </c>
      <c r="P217" s="222" t="s">
        <v>3894</v>
      </c>
      <c r="Q217" s="185" t="n">
        <f aca="false">Arch!E16</f>
        <v>1</v>
      </c>
      <c r="R217" s="28" t="s">
        <v>608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3839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1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4407</v>
      </c>
      <c r="B218" s="222" t="s">
        <v>3833</v>
      </c>
      <c r="C218" s="28" t="s">
        <v>4320</v>
      </c>
      <c r="D218" s="28" t="s">
        <v>3886</v>
      </c>
      <c r="E218" s="19" t="s">
        <v>4378</v>
      </c>
      <c r="F218" s="28" t="s">
        <v>94</v>
      </c>
      <c r="G218" s="222" t="s">
        <v>3835</v>
      </c>
      <c r="H218" s="28" t="s">
        <v>608</v>
      </c>
      <c r="I218" s="6" t="s">
        <v>608</v>
      </c>
      <c r="J218" s="28" t="s">
        <v>608</v>
      </c>
      <c r="K218" s="222"/>
      <c r="L218" s="222"/>
      <c r="M218" s="222" t="s">
        <v>3731</v>
      </c>
      <c r="N218" s="6" t="s">
        <v>4408</v>
      </c>
      <c r="O218" s="6" t="s">
        <v>608</v>
      </c>
      <c r="P218" s="222" t="s">
        <v>3838</v>
      </c>
      <c r="Q218" s="46" t="n">
        <f aca="false">Arch!E17</f>
        <v>0</v>
      </c>
      <c r="R218" s="28" t="s">
        <v>608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3839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1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4409</v>
      </c>
      <c r="B219" s="222" t="s">
        <v>3833</v>
      </c>
      <c r="C219" s="28" t="s">
        <v>4320</v>
      </c>
      <c r="D219" s="28" t="s">
        <v>3892</v>
      </c>
      <c r="E219" s="19" t="s">
        <v>281</v>
      </c>
      <c r="F219" s="28" t="s">
        <v>94</v>
      </c>
      <c r="G219" s="222" t="s">
        <v>3835</v>
      </c>
      <c r="H219" s="28" t="s">
        <v>608</v>
      </c>
      <c r="I219" s="6" t="s">
        <v>608</v>
      </c>
      <c r="J219" s="28" t="s">
        <v>608</v>
      </c>
      <c r="K219" s="222"/>
      <c r="L219" s="222"/>
      <c r="M219" s="222" t="s">
        <v>3731</v>
      </c>
      <c r="N219" s="6" t="s">
        <v>4410</v>
      </c>
      <c r="O219" s="6" t="s">
        <v>608</v>
      </c>
      <c r="P219" s="222" t="s">
        <v>1137</v>
      </c>
      <c r="Q219" s="46" t="n">
        <f aca="false">Arch!E18</f>
        <v>1</v>
      </c>
      <c r="R219" s="28" t="s">
        <v>608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3839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1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4411</v>
      </c>
      <c r="B220" s="222" t="s">
        <v>3833</v>
      </c>
      <c r="C220" s="28" t="s">
        <v>4320</v>
      </c>
      <c r="D220" s="28" t="s">
        <v>3900</v>
      </c>
      <c r="E220" s="19" t="s">
        <v>283</v>
      </c>
      <c r="F220" s="28" t="s">
        <v>94</v>
      </c>
      <c r="G220" s="222" t="s">
        <v>3835</v>
      </c>
      <c r="H220" s="28" t="s">
        <v>608</v>
      </c>
      <c r="I220" s="6" t="s">
        <v>608</v>
      </c>
      <c r="J220" s="28" t="s">
        <v>608</v>
      </c>
      <c r="K220" s="222"/>
      <c r="L220" s="222"/>
      <c r="M220" s="222" t="s">
        <v>3731</v>
      </c>
      <c r="N220" s="6" t="s">
        <v>4412</v>
      </c>
      <c r="O220" s="6" t="s">
        <v>608</v>
      </c>
      <c r="P220" s="222" t="s">
        <v>1137</v>
      </c>
      <c r="Q220" s="46" t="n">
        <f aca="false">Arch!E19</f>
        <v>0</v>
      </c>
      <c r="R220" s="28" t="s">
        <v>608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3839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1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4413</v>
      </c>
      <c r="B221" s="222" t="s">
        <v>3833</v>
      </c>
      <c r="C221" s="28" t="s">
        <v>4320</v>
      </c>
      <c r="D221" s="28" t="s">
        <v>3906</v>
      </c>
      <c r="E221" s="6" t="s">
        <v>284</v>
      </c>
      <c r="F221" s="28" t="s">
        <v>86</v>
      </c>
      <c r="G221" s="222" t="s">
        <v>3835</v>
      </c>
      <c r="H221" s="28" t="s">
        <v>608</v>
      </c>
      <c r="I221" s="6" t="s">
        <v>608</v>
      </c>
      <c r="J221" s="28" t="s">
        <v>4414</v>
      </c>
      <c r="K221" s="222"/>
      <c r="L221" s="222"/>
      <c r="M221" s="28" t="s">
        <v>608</v>
      </c>
      <c r="N221" s="6" t="s">
        <v>4415</v>
      </c>
      <c r="O221" s="6" t="s">
        <v>608</v>
      </c>
      <c r="P221" s="222" t="s">
        <v>3838</v>
      </c>
      <c r="Q221" s="31" t="n">
        <f aca="false">Arch!E20</f>
        <v>2</v>
      </c>
      <c r="R221" s="28" t="s">
        <v>608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3839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1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4416</v>
      </c>
      <c r="B222" s="222" t="s">
        <v>3833</v>
      </c>
      <c r="C222" s="28" t="s">
        <v>4320</v>
      </c>
      <c r="D222" s="28" t="s">
        <v>4417</v>
      </c>
      <c r="E222" s="6" t="s">
        <v>286</v>
      </c>
      <c r="F222" s="28" t="s">
        <v>3927</v>
      </c>
      <c r="G222" s="222" t="s">
        <v>3835</v>
      </c>
      <c r="H222" s="28" t="s">
        <v>608</v>
      </c>
      <c r="I222" s="6" t="s">
        <v>608</v>
      </c>
      <c r="J222" s="28" t="s">
        <v>608</v>
      </c>
      <c r="K222" s="222"/>
      <c r="L222" s="222"/>
      <c r="M222" s="28" t="s">
        <v>608</v>
      </c>
      <c r="N222" s="226" t="s">
        <v>4418</v>
      </c>
      <c r="O222" s="6" t="s">
        <v>608</v>
      </c>
      <c r="P222" s="222" t="s">
        <v>3838</v>
      </c>
      <c r="Q222" s="46" t="n">
        <f aca="false">Arch!C21</f>
        <v>2795</v>
      </c>
      <c r="R222" s="28" t="s">
        <v>608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3931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1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4419</v>
      </c>
      <c r="B223" s="222" t="s">
        <v>3833</v>
      </c>
      <c r="C223" s="28" t="s">
        <v>4320</v>
      </c>
      <c r="D223" s="28" t="s">
        <v>3916</v>
      </c>
      <c r="E223" s="6" t="s">
        <v>286</v>
      </c>
      <c r="F223" s="28" t="s">
        <v>3927</v>
      </c>
      <c r="G223" s="222" t="s">
        <v>3835</v>
      </c>
      <c r="H223" s="28" t="s">
        <v>608</v>
      </c>
      <c r="I223" s="6" t="s">
        <v>608</v>
      </c>
      <c r="J223" s="28" t="s">
        <v>608</v>
      </c>
      <c r="K223" s="222"/>
      <c r="L223" s="222"/>
      <c r="M223" s="28" t="s">
        <v>608</v>
      </c>
      <c r="N223" s="226" t="s">
        <v>4418</v>
      </c>
      <c r="O223" s="6" t="s">
        <v>608</v>
      </c>
      <c r="P223" s="222" t="s">
        <v>3838</v>
      </c>
      <c r="Q223" s="46" t="n">
        <f aca="false">Arch!D21</f>
        <v>3965</v>
      </c>
      <c r="R223" s="28" t="s">
        <v>608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3931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1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4420</v>
      </c>
      <c r="B224" s="222" t="s">
        <v>3833</v>
      </c>
      <c r="C224" s="28" t="s">
        <v>4320</v>
      </c>
      <c r="D224" s="28" t="s">
        <v>3913</v>
      </c>
      <c r="E224" s="6" t="s">
        <v>286</v>
      </c>
      <c r="F224" s="28" t="s">
        <v>3927</v>
      </c>
      <c r="G224" s="222" t="s">
        <v>3835</v>
      </c>
      <c r="H224" s="28" t="s">
        <v>608</v>
      </c>
      <c r="I224" s="6" t="s">
        <v>608</v>
      </c>
      <c r="J224" s="28" t="s">
        <v>608</v>
      </c>
      <c r="K224" s="222"/>
      <c r="L224" s="222"/>
      <c r="M224" s="28" t="s">
        <v>608</v>
      </c>
      <c r="N224" s="226" t="s">
        <v>4418</v>
      </c>
      <c r="O224" s="6" t="s">
        <v>608</v>
      </c>
      <c r="P224" s="222" t="s">
        <v>3838</v>
      </c>
      <c r="Q224" s="46" t="n">
        <f aca="false">Arch!E21</f>
        <v>14976</v>
      </c>
      <c r="R224" s="28" t="s">
        <v>608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3931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1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4421</v>
      </c>
      <c r="B225" s="222" t="s">
        <v>3833</v>
      </c>
      <c r="C225" s="28" t="s">
        <v>4320</v>
      </c>
      <c r="D225" s="28" t="s">
        <v>4422</v>
      </c>
      <c r="E225" s="6" t="s">
        <v>289</v>
      </c>
      <c r="F225" s="28" t="s">
        <v>3927</v>
      </c>
      <c r="G225" s="222" t="s">
        <v>3835</v>
      </c>
      <c r="H225" s="28" t="s">
        <v>608</v>
      </c>
      <c r="I225" s="6" t="s">
        <v>608</v>
      </c>
      <c r="J225" s="28" t="s">
        <v>608</v>
      </c>
      <c r="K225" s="222"/>
      <c r="L225" s="222"/>
      <c r="M225" s="28" t="s">
        <v>608</v>
      </c>
      <c r="N225" s="226" t="s">
        <v>4418</v>
      </c>
      <c r="O225" s="6" t="s">
        <v>608</v>
      </c>
      <c r="P225" s="222" t="s">
        <v>3838</v>
      </c>
      <c r="Q225" s="46" t="n">
        <f aca="false">Arch!C22</f>
        <v>2795</v>
      </c>
      <c r="R225" s="28" t="s">
        <v>608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3931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1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4423</v>
      </c>
      <c r="B226" s="222" t="s">
        <v>3833</v>
      </c>
      <c r="C226" s="28" t="s">
        <v>4320</v>
      </c>
      <c r="D226" s="28" t="s">
        <v>4424</v>
      </c>
      <c r="E226" s="6" t="s">
        <v>289</v>
      </c>
      <c r="F226" s="28" t="s">
        <v>3927</v>
      </c>
      <c r="G226" s="222" t="s">
        <v>3835</v>
      </c>
      <c r="H226" s="28" t="s">
        <v>608</v>
      </c>
      <c r="I226" s="6" t="s">
        <v>608</v>
      </c>
      <c r="J226" s="28" t="s">
        <v>608</v>
      </c>
      <c r="K226" s="222"/>
      <c r="L226" s="222"/>
      <c r="M226" s="28" t="s">
        <v>608</v>
      </c>
      <c r="N226" s="226" t="s">
        <v>4418</v>
      </c>
      <c r="O226" s="6" t="s">
        <v>608</v>
      </c>
      <c r="P226" s="222" t="s">
        <v>3838</v>
      </c>
      <c r="Q226" s="46" t="n">
        <f aca="false">Arch!D22</f>
        <v>3965</v>
      </c>
      <c r="R226" s="28" t="s">
        <v>608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3931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1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4425</v>
      </c>
      <c r="B227" s="222" t="s">
        <v>3833</v>
      </c>
      <c r="C227" s="28" t="s">
        <v>4320</v>
      </c>
      <c r="D227" s="28" t="s">
        <v>4426</v>
      </c>
      <c r="E227" s="6" t="s">
        <v>289</v>
      </c>
      <c r="F227" s="28" t="s">
        <v>3927</v>
      </c>
      <c r="G227" s="222" t="s">
        <v>3835</v>
      </c>
      <c r="H227" s="28" t="s">
        <v>608</v>
      </c>
      <c r="I227" s="6" t="s">
        <v>608</v>
      </c>
      <c r="J227" s="28" t="s">
        <v>608</v>
      </c>
      <c r="K227" s="222"/>
      <c r="L227" s="222"/>
      <c r="M227" s="28" t="s">
        <v>608</v>
      </c>
      <c r="N227" s="226" t="s">
        <v>4418</v>
      </c>
      <c r="O227" s="6" t="s">
        <v>608</v>
      </c>
      <c r="P227" s="222" t="s">
        <v>3838</v>
      </c>
      <c r="Q227" s="46" t="n">
        <f aca="false">Arch!E22</f>
        <v>57600</v>
      </c>
      <c r="R227" s="28" t="s">
        <v>608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3931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1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4427</v>
      </c>
      <c r="B228" s="222" t="s">
        <v>3833</v>
      </c>
      <c r="C228" s="28" t="s">
        <v>4320</v>
      </c>
      <c r="D228" s="28" t="s">
        <v>4112</v>
      </c>
      <c r="E228" s="6" t="s">
        <v>291</v>
      </c>
      <c r="F228" s="28" t="s">
        <v>3927</v>
      </c>
      <c r="G228" s="222" t="s">
        <v>3835</v>
      </c>
      <c r="H228" s="28" t="s">
        <v>608</v>
      </c>
      <c r="I228" s="6" t="s">
        <v>608</v>
      </c>
      <c r="J228" s="28" t="s">
        <v>608</v>
      </c>
      <c r="K228" s="222"/>
      <c r="L228" s="222"/>
      <c r="M228" s="28" t="s">
        <v>608</v>
      </c>
      <c r="N228" s="226" t="s">
        <v>4418</v>
      </c>
      <c r="O228" s="6" t="s">
        <v>608</v>
      </c>
      <c r="P228" s="222" t="s">
        <v>3838</v>
      </c>
      <c r="Q228" s="46" t="n">
        <f aca="false">Arch!C23</f>
        <v>2795</v>
      </c>
      <c r="R228" s="28" t="s">
        <v>608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3931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1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4428</v>
      </c>
      <c r="B229" s="222" t="s">
        <v>3833</v>
      </c>
      <c r="C229" s="28" t="s">
        <v>4320</v>
      </c>
      <c r="D229" s="28" t="s">
        <v>3970</v>
      </c>
      <c r="E229" s="6" t="s">
        <v>291</v>
      </c>
      <c r="F229" s="28" t="s">
        <v>3927</v>
      </c>
      <c r="G229" s="222" t="s">
        <v>3835</v>
      </c>
      <c r="H229" s="28" t="s">
        <v>608</v>
      </c>
      <c r="I229" s="6" t="s">
        <v>608</v>
      </c>
      <c r="J229" s="28" t="s">
        <v>608</v>
      </c>
      <c r="K229" s="222"/>
      <c r="L229" s="222"/>
      <c r="M229" s="28" t="s">
        <v>608</v>
      </c>
      <c r="N229" s="226" t="s">
        <v>4418</v>
      </c>
      <c r="O229" s="6" t="s">
        <v>608</v>
      </c>
      <c r="P229" s="222" t="s">
        <v>3838</v>
      </c>
      <c r="Q229" s="46" t="n">
        <f aca="false">Arch!D23</f>
        <v>3965</v>
      </c>
      <c r="R229" s="28" t="s">
        <v>608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3931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1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4429</v>
      </c>
      <c r="B230" s="222" t="s">
        <v>3833</v>
      </c>
      <c r="C230" s="28" t="s">
        <v>4320</v>
      </c>
      <c r="D230" s="28" t="s">
        <v>3975</v>
      </c>
      <c r="E230" s="6" t="s">
        <v>291</v>
      </c>
      <c r="F230" s="28" t="s">
        <v>3927</v>
      </c>
      <c r="G230" s="222" t="s">
        <v>3835</v>
      </c>
      <c r="H230" s="28" t="s">
        <v>608</v>
      </c>
      <c r="I230" s="6" t="s">
        <v>608</v>
      </c>
      <c r="J230" s="28" t="s">
        <v>608</v>
      </c>
      <c r="K230" s="222"/>
      <c r="L230" s="222"/>
      <c r="M230" s="28" t="s">
        <v>608</v>
      </c>
      <c r="N230" s="226" t="s">
        <v>4418</v>
      </c>
      <c r="O230" s="6" t="s">
        <v>608</v>
      </c>
      <c r="P230" s="222" t="s">
        <v>3838</v>
      </c>
      <c r="Q230" s="46" t="n">
        <f aca="false">Arch!E23</f>
        <v>204800</v>
      </c>
      <c r="R230" s="28" t="s">
        <v>608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3931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1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4430</v>
      </c>
      <c r="B231" s="222" t="s">
        <v>3833</v>
      </c>
      <c r="C231" s="28" t="s">
        <v>4431</v>
      </c>
      <c r="D231" s="28" t="s">
        <v>3998</v>
      </c>
      <c r="E231" s="6" t="s">
        <v>329</v>
      </c>
      <c r="F231" s="28" t="s">
        <v>98</v>
      </c>
      <c r="G231" s="222" t="s">
        <v>3835</v>
      </c>
      <c r="H231" s="28" t="s">
        <v>4432</v>
      </c>
      <c r="I231" s="19" t="s">
        <v>4433</v>
      </c>
      <c r="J231" s="28" t="s">
        <v>608</v>
      </c>
      <c r="K231" s="224" t="n">
        <v>1</v>
      </c>
      <c r="L231" s="224" t="n">
        <v>5</v>
      </c>
      <c r="M231" s="28" t="s">
        <v>4434</v>
      </c>
      <c r="N231" s="223" t="str">
        <f aca="false">Serving!$F$6&amp;" ｜補充旗標（IF 全欄分段，非分段依據）：中"</f>
        <v>DeepSeek MTP；區間 1–5 ｜補充旗標（IF 全欄分段，非分段依據）：中</v>
      </c>
      <c r="O231" s="6" t="s">
        <v>608</v>
      </c>
      <c r="P231" s="222" t="s">
        <v>1137</v>
      </c>
      <c r="Q231" s="31" t="n">
        <f aca="false">Serving!C6</f>
        <v>3</v>
      </c>
      <c r="R231" s="175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3839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1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4435</v>
      </c>
      <c r="B232" s="222" t="s">
        <v>3833</v>
      </c>
      <c r="C232" s="28" t="s">
        <v>4431</v>
      </c>
      <c r="D232" s="28" t="s">
        <v>4325</v>
      </c>
      <c r="E232" s="19" t="s">
        <v>4436</v>
      </c>
      <c r="F232" s="222" t="s">
        <v>319</v>
      </c>
      <c r="G232" s="222" t="s">
        <v>3835</v>
      </c>
      <c r="H232" s="28" t="s">
        <v>4437</v>
      </c>
      <c r="I232" s="19" t="s">
        <v>3870</v>
      </c>
      <c r="J232" s="28" t="s">
        <v>608</v>
      </c>
      <c r="K232" s="222"/>
      <c r="L232" s="222"/>
      <c r="M232" s="28" t="s">
        <v>608</v>
      </c>
      <c r="N232" s="19" t="s">
        <v>4062</v>
      </c>
      <c r="O232" s="6" t="s">
        <v>608</v>
      </c>
      <c r="P232" s="222" t="s">
        <v>3894</v>
      </c>
      <c r="Q232" s="185" t="n">
        <f aca="false">Serving!C7</f>
        <v>0.7</v>
      </c>
      <c r="R232" s="175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3872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1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4438</v>
      </c>
      <c r="B233" s="222" t="s">
        <v>3833</v>
      </c>
      <c r="C233" s="28" t="s">
        <v>4431</v>
      </c>
      <c r="D233" s="28" t="s">
        <v>4025</v>
      </c>
      <c r="E233" s="6" t="s">
        <v>336</v>
      </c>
      <c r="F233" s="28" t="s">
        <v>94</v>
      </c>
      <c r="G233" s="222" t="s">
        <v>3835</v>
      </c>
      <c r="H233" s="28" t="s">
        <v>608</v>
      </c>
      <c r="I233" s="6" t="s">
        <v>608</v>
      </c>
      <c r="J233" s="28" t="s">
        <v>608</v>
      </c>
      <c r="K233" s="224" t="n">
        <v>0.05</v>
      </c>
      <c r="L233" s="224" t="n">
        <v>0.2</v>
      </c>
      <c r="M233" s="28" t="s">
        <v>4439</v>
      </c>
      <c r="N233" s="223" t="str">
        <f aca="false">Serving!$F$9&amp;" ｜補充旗標（IF 全欄分段，非分段依據）：中"</f>
        <v>區間 5–20% ｜補充旗標（IF 全欄分段，非分段依據）：中</v>
      </c>
      <c r="O233" s="6" t="s">
        <v>608</v>
      </c>
      <c r="P233" s="222" t="s">
        <v>1137</v>
      </c>
      <c r="Q233" s="185" t="n">
        <f aca="false">Serving!C9</f>
        <v>0.1</v>
      </c>
      <c r="R233" s="28" t="s">
        <v>608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3839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1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4440</v>
      </c>
      <c r="B234" s="222" t="s">
        <v>3833</v>
      </c>
      <c r="C234" s="28" t="s">
        <v>4431</v>
      </c>
      <c r="D234" s="28" t="s">
        <v>4045</v>
      </c>
      <c r="E234" s="19" t="s">
        <v>4441</v>
      </c>
      <c r="F234" s="28" t="s">
        <v>94</v>
      </c>
      <c r="G234" s="222" t="s">
        <v>3835</v>
      </c>
      <c r="H234" s="28" t="s">
        <v>608</v>
      </c>
      <c r="I234" s="6" t="s">
        <v>608</v>
      </c>
      <c r="J234" s="28" t="s">
        <v>608</v>
      </c>
      <c r="K234" s="224" t="n">
        <v>0.1</v>
      </c>
      <c r="L234" s="224" t="n">
        <v>0.3</v>
      </c>
      <c r="M234" s="28" t="s">
        <v>4442</v>
      </c>
      <c r="N234" s="223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608</v>
      </c>
      <c r="P234" s="222" t="s">
        <v>3894</v>
      </c>
      <c r="Q234" s="185" t="n">
        <f aca="false">Serving!C10</f>
        <v>0.2</v>
      </c>
      <c r="R234" s="28" t="s">
        <v>608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3839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1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4443</v>
      </c>
      <c r="B235" s="222" t="s">
        <v>3833</v>
      </c>
      <c r="C235" s="28" t="s">
        <v>4431</v>
      </c>
      <c r="D235" s="28" t="s">
        <v>4056</v>
      </c>
      <c r="E235" s="19" t="s">
        <v>4444</v>
      </c>
      <c r="F235" s="28" t="s">
        <v>94</v>
      </c>
      <c r="G235" s="222" t="s">
        <v>3835</v>
      </c>
      <c r="H235" s="28" t="s">
        <v>608</v>
      </c>
      <c r="I235" s="6" t="s">
        <v>608</v>
      </c>
      <c r="J235" s="28" t="s">
        <v>608</v>
      </c>
      <c r="K235" s="224" t="n">
        <v>0.3</v>
      </c>
      <c r="L235" s="224" t="n">
        <v>0.5</v>
      </c>
      <c r="M235" s="28" t="s">
        <v>4445</v>
      </c>
      <c r="N235" s="223" t="str">
        <f aca="false">Serving!$F$11&amp;" ｜補充旗標（IF 全欄分段，非分段依據）：高"</f>
        <v>超過時自動加寬 EP ｜補充旗標（IF 全欄分段，非分段依據）：高</v>
      </c>
      <c r="O235" s="6" t="s">
        <v>608</v>
      </c>
      <c r="P235" s="222" t="s">
        <v>1137</v>
      </c>
      <c r="Q235" s="185" t="n">
        <f aca="false">Serving!C11</f>
        <v>0.4</v>
      </c>
      <c r="R235" s="28" t="s">
        <v>608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3839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1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4446</v>
      </c>
      <c r="B236" s="222" t="s">
        <v>3833</v>
      </c>
      <c r="C236" s="28" t="s">
        <v>4431</v>
      </c>
      <c r="D236" s="28" t="s">
        <v>4077</v>
      </c>
      <c r="E236" s="6" t="s">
        <v>342</v>
      </c>
      <c r="F236" s="28" t="s">
        <v>94</v>
      </c>
      <c r="G236" s="222" t="s">
        <v>3835</v>
      </c>
      <c r="H236" s="28" t="s">
        <v>608</v>
      </c>
      <c r="I236" s="6" t="s">
        <v>608</v>
      </c>
      <c r="J236" s="28" t="s">
        <v>608</v>
      </c>
      <c r="K236" s="224" t="n">
        <v>2</v>
      </c>
      <c r="L236" s="224" t="n">
        <v>4</v>
      </c>
      <c r="M236" s="28" t="s">
        <v>4447</v>
      </c>
      <c r="N236" s="223" t="str">
        <f aca="false">Serving!$F$12</f>
        <v>FP8 dispatch 1 B＋BF16 combine 2 B</v>
      </c>
      <c r="O236" s="6" t="s">
        <v>4233</v>
      </c>
      <c r="P236" s="222" t="s">
        <v>3838</v>
      </c>
      <c r="Q236" s="190" t="n">
        <f aca="false">Serving!C12</f>
        <v>3</v>
      </c>
      <c r="R236" s="28" t="s">
        <v>608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3839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1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4448</v>
      </c>
      <c r="B237" s="222" t="s">
        <v>3833</v>
      </c>
      <c r="C237" s="28" t="s">
        <v>4431</v>
      </c>
      <c r="D237" s="28" t="s">
        <v>4097</v>
      </c>
      <c r="E237" s="6" t="s">
        <v>344</v>
      </c>
      <c r="F237" s="28" t="s">
        <v>94</v>
      </c>
      <c r="G237" s="222" t="s">
        <v>3835</v>
      </c>
      <c r="H237" s="28" t="s">
        <v>608</v>
      </c>
      <c r="I237" s="6" t="s">
        <v>608</v>
      </c>
      <c r="J237" s="28" t="s">
        <v>608</v>
      </c>
      <c r="K237" s="224" t="n">
        <v>0.5</v>
      </c>
      <c r="L237" s="224" t="n">
        <v>0.85</v>
      </c>
      <c r="M237" s="28" t="s">
        <v>4449</v>
      </c>
      <c r="N237" s="223" t="str">
        <f aca="false">Serving!$F$13</f>
        <v>區間 0.5–0.85</v>
      </c>
      <c r="O237" s="6" t="s">
        <v>4233</v>
      </c>
      <c r="P237" s="222" t="s">
        <v>3838</v>
      </c>
      <c r="Q237" s="185" t="n">
        <f aca="false">Serving!C13</f>
        <v>0.7</v>
      </c>
      <c r="R237" s="28" t="s">
        <v>608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3839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1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4450</v>
      </c>
      <c r="B238" s="222" t="s">
        <v>3833</v>
      </c>
      <c r="C238" s="28" t="s">
        <v>4431</v>
      </c>
      <c r="D238" s="28" t="s">
        <v>4346</v>
      </c>
      <c r="E238" s="6" t="s">
        <v>346</v>
      </c>
      <c r="F238" s="28" t="s">
        <v>94</v>
      </c>
      <c r="G238" s="222" t="s">
        <v>3835</v>
      </c>
      <c r="H238" s="28" t="s">
        <v>608</v>
      </c>
      <c r="I238" s="6" t="s">
        <v>608</v>
      </c>
      <c r="J238" s="28" t="s">
        <v>608</v>
      </c>
      <c r="K238" s="224" t="n">
        <v>0.5</v>
      </c>
      <c r="L238" s="224" t="n">
        <v>0.85</v>
      </c>
      <c r="M238" s="28" t="s">
        <v>4449</v>
      </c>
      <c r="N238" s="223" t="str">
        <f aca="false">Serving!$F$14</f>
        <v>區間 0.5–0.85</v>
      </c>
      <c r="O238" s="6" t="s">
        <v>4233</v>
      </c>
      <c r="P238" s="222" t="s">
        <v>3838</v>
      </c>
      <c r="Q238" s="185" t="n">
        <f aca="false">Serving!C14</f>
        <v>0.7</v>
      </c>
      <c r="R238" s="28" t="s">
        <v>608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3839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1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4451</v>
      </c>
      <c r="B239" s="222" t="s">
        <v>3833</v>
      </c>
      <c r="C239" s="28" t="s">
        <v>4431</v>
      </c>
      <c r="D239" s="28" t="s">
        <v>4350</v>
      </c>
      <c r="E239" s="19" t="s">
        <v>4452</v>
      </c>
      <c r="F239" s="28" t="s">
        <v>94</v>
      </c>
      <c r="G239" s="222" t="s">
        <v>3835</v>
      </c>
      <c r="H239" s="28" t="s">
        <v>608</v>
      </c>
      <c r="I239" s="6" t="s">
        <v>608</v>
      </c>
      <c r="J239" s="28" t="s">
        <v>608</v>
      </c>
      <c r="K239" s="224" t="n">
        <v>0.05</v>
      </c>
      <c r="L239" s="224" t="n">
        <v>0.4</v>
      </c>
      <c r="M239" s="28" t="s">
        <v>4453</v>
      </c>
      <c r="N239" s="223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608</v>
      </c>
      <c r="P239" s="222" t="s">
        <v>1137</v>
      </c>
      <c r="Q239" s="183" t="n">
        <f aca="false">Serving!C15</f>
        <v>0.1</v>
      </c>
      <c r="R239" s="28" t="s">
        <v>608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3839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1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4454</v>
      </c>
      <c r="B240" s="222" t="s">
        <v>3833</v>
      </c>
      <c r="C240" s="28" t="s">
        <v>4431</v>
      </c>
      <c r="D240" s="28" t="s">
        <v>4377</v>
      </c>
      <c r="E240" s="19" t="s">
        <v>4455</v>
      </c>
      <c r="F240" s="28" t="s">
        <v>94</v>
      </c>
      <c r="G240" s="222" t="s">
        <v>3835</v>
      </c>
      <c r="H240" s="28" t="s">
        <v>608</v>
      </c>
      <c r="I240" s="6" t="s">
        <v>608</v>
      </c>
      <c r="J240" s="28" t="s">
        <v>4456</v>
      </c>
      <c r="K240" s="224" t="n">
        <v>0.4</v>
      </c>
      <c r="L240" s="224" t="n">
        <v>0.8</v>
      </c>
      <c r="M240" s="28" t="s">
        <v>4457</v>
      </c>
      <c r="N240" s="223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608</v>
      </c>
      <c r="P240" s="222" t="s">
        <v>1138</v>
      </c>
      <c r="Q240" s="185" t="n">
        <f aca="false">Serving!C17</f>
        <v>0.6</v>
      </c>
      <c r="R240" s="28" t="s">
        <v>608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3839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1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4458</v>
      </c>
      <c r="B241" s="222" t="s">
        <v>3833</v>
      </c>
      <c r="C241" s="28" t="s">
        <v>4431</v>
      </c>
      <c r="D241" s="28" t="s">
        <v>4359</v>
      </c>
      <c r="E241" s="19" t="s">
        <v>354</v>
      </c>
      <c r="F241" s="28" t="s">
        <v>94</v>
      </c>
      <c r="G241" s="222" t="s">
        <v>3835</v>
      </c>
      <c r="H241" s="28" t="s">
        <v>608</v>
      </c>
      <c r="I241" s="6" t="s">
        <v>608</v>
      </c>
      <c r="J241" s="28" t="s">
        <v>4456</v>
      </c>
      <c r="K241" s="224" t="n">
        <v>0.7</v>
      </c>
      <c r="L241" s="224" t="n">
        <v>1</v>
      </c>
      <c r="M241" s="28" t="s">
        <v>4459</v>
      </c>
      <c r="N241" s="223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608</v>
      </c>
      <c r="P241" s="222" t="s">
        <v>1138</v>
      </c>
      <c r="Q241" s="183" t="n">
        <f aca="false">Serving!C18</f>
        <v>1</v>
      </c>
      <c r="R241" s="28" t="s">
        <v>608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3839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1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4460</v>
      </c>
      <c r="B242" s="222" t="s">
        <v>3833</v>
      </c>
      <c r="C242" s="28" t="s">
        <v>4431</v>
      </c>
      <c r="D242" s="28" t="s">
        <v>4355</v>
      </c>
      <c r="E242" s="19" t="s">
        <v>4461</v>
      </c>
      <c r="F242" s="28" t="s">
        <v>86</v>
      </c>
      <c r="G242" s="222" t="s">
        <v>3835</v>
      </c>
      <c r="H242" s="28" t="s">
        <v>608</v>
      </c>
      <c r="I242" s="6" t="s">
        <v>608</v>
      </c>
      <c r="J242" s="28" t="s">
        <v>4462</v>
      </c>
      <c r="K242" s="222"/>
      <c r="L242" s="222"/>
      <c r="M242" s="28" t="s">
        <v>608</v>
      </c>
      <c r="N242" s="6" t="s">
        <v>4463</v>
      </c>
      <c r="O242" s="6" t="s">
        <v>608</v>
      </c>
      <c r="P242" s="222" t="s">
        <v>3838</v>
      </c>
      <c r="Q242" s="31" t="n">
        <f aca="false">Serving!C16</f>
        <v>1</v>
      </c>
      <c r="R242" s="28" t="s">
        <v>608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3839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1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4464</v>
      </c>
      <c r="B243" s="222" t="s">
        <v>3833</v>
      </c>
      <c r="C243" s="28" t="s">
        <v>4431</v>
      </c>
      <c r="D243" s="28" t="s">
        <v>4417</v>
      </c>
      <c r="E243" s="6" t="s">
        <v>358</v>
      </c>
      <c r="F243" s="222" t="s">
        <v>319</v>
      </c>
      <c r="G243" s="222" t="s">
        <v>3835</v>
      </c>
      <c r="H243" s="28" t="s">
        <v>4465</v>
      </c>
      <c r="I243" s="19" t="s">
        <v>3870</v>
      </c>
      <c r="J243" s="28" t="s">
        <v>4466</v>
      </c>
      <c r="K243" s="222"/>
      <c r="L243" s="222"/>
      <c r="M243" s="28" t="s">
        <v>608</v>
      </c>
      <c r="N243" s="19" t="s">
        <v>3973</v>
      </c>
      <c r="O243" s="6" t="s">
        <v>608</v>
      </c>
      <c r="P243" s="222" t="s">
        <v>1138</v>
      </c>
      <c r="Q243" s="46" t="n">
        <f aca="false">Serving!C21</f>
        <v>120</v>
      </c>
      <c r="R243" s="175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3872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1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4467</v>
      </c>
      <c r="B244" s="222" t="s">
        <v>3833</v>
      </c>
      <c r="C244" s="28" t="s">
        <v>4431</v>
      </c>
      <c r="D244" s="28" t="s">
        <v>3916</v>
      </c>
      <c r="E244" s="6" t="s">
        <v>358</v>
      </c>
      <c r="F244" s="28" t="s">
        <v>86</v>
      </c>
      <c r="G244" s="222" t="s">
        <v>3835</v>
      </c>
      <c r="H244" s="28" t="s">
        <v>4468</v>
      </c>
      <c r="I244" s="19" t="s">
        <v>4469</v>
      </c>
      <c r="J244" s="28" t="s">
        <v>4466</v>
      </c>
      <c r="K244" s="222"/>
      <c r="L244" s="222"/>
      <c r="M244" s="28" t="s">
        <v>608</v>
      </c>
      <c r="N244" s="6" t="s">
        <v>4470</v>
      </c>
      <c r="O244" s="6" t="s">
        <v>608</v>
      </c>
      <c r="P244" s="222" t="s">
        <v>1138</v>
      </c>
      <c r="Q244" s="46" t="n">
        <f aca="false">Serving!D21</f>
        <v>65</v>
      </c>
      <c r="R244" s="175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3839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1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4471</v>
      </c>
      <c r="B245" s="222" t="s">
        <v>3833</v>
      </c>
      <c r="C245" s="28" t="s">
        <v>4431</v>
      </c>
      <c r="D245" s="28" t="s">
        <v>3913</v>
      </c>
      <c r="E245" s="6" t="s">
        <v>358</v>
      </c>
      <c r="F245" s="28" t="s">
        <v>86</v>
      </c>
      <c r="G245" s="222" t="s">
        <v>3835</v>
      </c>
      <c r="H245" s="28" t="s">
        <v>4472</v>
      </c>
      <c r="I245" s="19" t="s">
        <v>4473</v>
      </c>
      <c r="J245" s="28" t="s">
        <v>4466</v>
      </c>
      <c r="K245" s="222"/>
      <c r="L245" s="222"/>
      <c r="M245" s="28" t="s">
        <v>608</v>
      </c>
      <c r="N245" s="6" t="s">
        <v>4474</v>
      </c>
      <c r="O245" s="6" t="s">
        <v>608</v>
      </c>
      <c r="P245" s="222" t="s">
        <v>1138</v>
      </c>
      <c r="Q245" s="46" t="n">
        <f aca="false">Serving!E21</f>
        <v>55</v>
      </c>
      <c r="R245" s="175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3839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1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4475</v>
      </c>
      <c r="B246" s="222" t="s">
        <v>3833</v>
      </c>
      <c r="C246" s="28" t="s">
        <v>4431</v>
      </c>
      <c r="D246" s="28" t="s">
        <v>4422</v>
      </c>
      <c r="E246" s="6" t="s">
        <v>361</v>
      </c>
      <c r="F246" s="28" t="s">
        <v>94</v>
      </c>
      <c r="G246" s="222" t="s">
        <v>3835</v>
      </c>
      <c r="H246" s="28" t="s">
        <v>608</v>
      </c>
      <c r="I246" s="6" t="s">
        <v>608</v>
      </c>
      <c r="J246" s="28" t="s">
        <v>608</v>
      </c>
      <c r="K246" s="175" t="n">
        <f aca="false">Serving!C22*0.5</f>
        <v>1</v>
      </c>
      <c r="L246" s="175" t="n">
        <f aca="false">Serving!C22*2</f>
        <v>4</v>
      </c>
      <c r="M246" s="28" t="s">
        <v>4476</v>
      </c>
      <c r="N246" s="6" t="s">
        <v>4477</v>
      </c>
      <c r="O246" s="6" t="s">
        <v>608</v>
      </c>
      <c r="P246" s="222" t="s">
        <v>3838</v>
      </c>
      <c r="Q246" s="190" t="n">
        <f aca="false">Serving!C22</f>
        <v>2</v>
      </c>
      <c r="R246" s="28" t="s">
        <v>608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3839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1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4478</v>
      </c>
      <c r="B247" s="222" t="s">
        <v>3833</v>
      </c>
      <c r="C247" s="28" t="s">
        <v>4431</v>
      </c>
      <c r="D247" s="28" t="s">
        <v>4424</v>
      </c>
      <c r="E247" s="6" t="s">
        <v>361</v>
      </c>
      <c r="F247" s="28" t="s">
        <v>94</v>
      </c>
      <c r="G247" s="222" t="s">
        <v>3835</v>
      </c>
      <c r="H247" s="28" t="s">
        <v>608</v>
      </c>
      <c r="I247" s="6" t="s">
        <v>608</v>
      </c>
      <c r="J247" s="28" t="s">
        <v>608</v>
      </c>
      <c r="K247" s="175" t="n">
        <f aca="false">Serving!D22*0.5</f>
        <v>1.5</v>
      </c>
      <c r="L247" s="175" t="n">
        <f aca="false">Serving!D22*2</f>
        <v>6</v>
      </c>
      <c r="M247" s="28" t="s">
        <v>4476</v>
      </c>
      <c r="N247" s="6" t="s">
        <v>4477</v>
      </c>
      <c r="O247" s="6" t="s">
        <v>608</v>
      </c>
      <c r="P247" s="222" t="s">
        <v>3838</v>
      </c>
      <c r="Q247" s="190" t="n">
        <f aca="false">Serving!D22</f>
        <v>3</v>
      </c>
      <c r="R247" s="28" t="s">
        <v>608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3839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1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4479</v>
      </c>
      <c r="B248" s="222" t="s">
        <v>3833</v>
      </c>
      <c r="C248" s="28" t="s">
        <v>4431</v>
      </c>
      <c r="D248" s="28" t="s">
        <v>4426</v>
      </c>
      <c r="E248" s="6" t="s">
        <v>361</v>
      </c>
      <c r="F248" s="28" t="s">
        <v>94</v>
      </c>
      <c r="G248" s="222" t="s">
        <v>3835</v>
      </c>
      <c r="H248" s="28" t="s">
        <v>608</v>
      </c>
      <c r="I248" s="6" t="s">
        <v>608</v>
      </c>
      <c r="J248" s="28" t="s">
        <v>608</v>
      </c>
      <c r="K248" s="175" t="n">
        <f aca="false">Serving!E22*0.5</f>
        <v>2.5</v>
      </c>
      <c r="L248" s="175" t="n">
        <f aca="false">Serving!E22*2</f>
        <v>10</v>
      </c>
      <c r="M248" s="28" t="s">
        <v>4476</v>
      </c>
      <c r="N248" s="6" t="s">
        <v>4477</v>
      </c>
      <c r="O248" s="6" t="s">
        <v>608</v>
      </c>
      <c r="P248" s="222" t="s">
        <v>3838</v>
      </c>
      <c r="Q248" s="190" t="n">
        <f aca="false">Serving!E22</f>
        <v>5</v>
      </c>
      <c r="R248" s="28" t="s">
        <v>608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3839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1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4480</v>
      </c>
      <c r="B249" s="222" t="s">
        <v>3833</v>
      </c>
      <c r="C249" s="28" t="s">
        <v>4431</v>
      </c>
      <c r="D249" s="28" t="s">
        <v>4112</v>
      </c>
      <c r="E249" s="19" t="s">
        <v>4481</v>
      </c>
      <c r="F249" s="28" t="s">
        <v>94</v>
      </c>
      <c r="G249" s="222" t="s">
        <v>3835</v>
      </c>
      <c r="H249" s="28" t="s">
        <v>608</v>
      </c>
      <c r="I249" s="6" t="s">
        <v>608</v>
      </c>
      <c r="J249" s="28" t="s">
        <v>608</v>
      </c>
      <c r="K249" s="175" t="n">
        <f aca="false">Serving!C23*0.5</f>
        <v>4096</v>
      </c>
      <c r="L249" s="175" t="n">
        <f aca="false">Serving!C23*2</f>
        <v>16384</v>
      </c>
      <c r="M249" s="28" t="s">
        <v>4476</v>
      </c>
      <c r="N249" s="19" t="s">
        <v>4482</v>
      </c>
      <c r="O249" s="6" t="s">
        <v>608</v>
      </c>
      <c r="P249" s="222" t="s">
        <v>1138</v>
      </c>
      <c r="Q249" s="46" t="n">
        <f aca="false">Serving!C23</f>
        <v>8192</v>
      </c>
      <c r="R249" s="28" t="s">
        <v>608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3839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1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4483</v>
      </c>
      <c r="B250" s="222" t="s">
        <v>3833</v>
      </c>
      <c r="C250" s="28" t="s">
        <v>4431</v>
      </c>
      <c r="D250" s="28" t="s">
        <v>3970</v>
      </c>
      <c r="E250" s="19" t="s">
        <v>4481</v>
      </c>
      <c r="F250" s="28" t="s">
        <v>94</v>
      </c>
      <c r="G250" s="222" t="s">
        <v>3835</v>
      </c>
      <c r="H250" s="28" t="s">
        <v>608</v>
      </c>
      <c r="I250" s="6" t="s">
        <v>608</v>
      </c>
      <c r="J250" s="28" t="s">
        <v>608</v>
      </c>
      <c r="K250" s="175" t="n">
        <f aca="false">Serving!D23*0.5</f>
        <v>8192</v>
      </c>
      <c r="L250" s="175" t="n">
        <v>68000</v>
      </c>
      <c r="M250" s="28" t="s">
        <v>4476</v>
      </c>
      <c r="N250" s="19" t="s">
        <v>4484</v>
      </c>
      <c r="O250" s="6" t="s">
        <v>608</v>
      </c>
      <c r="P250" s="222" t="s">
        <v>1138</v>
      </c>
      <c r="Q250" s="46" t="n">
        <f aca="false">Serving!D23</f>
        <v>16384</v>
      </c>
      <c r="R250" s="28" t="s">
        <v>608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3839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1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4485</v>
      </c>
      <c r="B251" s="222" t="s">
        <v>3833</v>
      </c>
      <c r="C251" s="28" t="s">
        <v>4431</v>
      </c>
      <c r="D251" s="28" t="s">
        <v>3975</v>
      </c>
      <c r="E251" s="19" t="s">
        <v>4481</v>
      </c>
      <c r="F251" s="28" t="s">
        <v>94</v>
      </c>
      <c r="G251" s="222" t="s">
        <v>3835</v>
      </c>
      <c r="H251" s="28" t="s">
        <v>608</v>
      </c>
      <c r="I251" s="6" t="s">
        <v>608</v>
      </c>
      <c r="J251" s="28" t="s">
        <v>608</v>
      </c>
      <c r="K251" s="175" t="n">
        <f aca="false">Serving!E23*0.5</f>
        <v>16384</v>
      </c>
      <c r="L251" s="175" t="n">
        <v>68000</v>
      </c>
      <c r="M251" s="28" t="s">
        <v>4476</v>
      </c>
      <c r="N251" s="19" t="s">
        <v>4484</v>
      </c>
      <c r="O251" s="6" t="s">
        <v>608</v>
      </c>
      <c r="P251" s="222" t="s">
        <v>1138</v>
      </c>
      <c r="Q251" s="46" t="n">
        <f aca="false">Serving!E23</f>
        <v>32768</v>
      </c>
      <c r="R251" s="28" t="s">
        <v>608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3839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1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4486</v>
      </c>
      <c r="B252" s="222" t="s">
        <v>3833</v>
      </c>
      <c r="C252" s="28" t="s">
        <v>4431</v>
      </c>
      <c r="D252" s="28" t="s">
        <v>4129</v>
      </c>
      <c r="E252" s="19" t="s">
        <v>4487</v>
      </c>
      <c r="F252" s="28" t="s">
        <v>94</v>
      </c>
      <c r="G252" s="222" t="s">
        <v>3835</v>
      </c>
      <c r="H252" s="28" t="s">
        <v>608</v>
      </c>
      <c r="I252" s="6" t="s">
        <v>608</v>
      </c>
      <c r="J252" s="28" t="s">
        <v>608</v>
      </c>
      <c r="K252" s="224" t="n">
        <v>400</v>
      </c>
      <c r="L252" s="175" t="n">
        <f aca="false">Serving!C24*2</f>
        <v>2048</v>
      </c>
      <c r="M252" s="28" t="s">
        <v>4488</v>
      </c>
      <c r="N252" s="19" t="s">
        <v>4489</v>
      </c>
      <c r="O252" s="6" t="s">
        <v>608</v>
      </c>
      <c r="P252" s="222" t="s">
        <v>1138</v>
      </c>
      <c r="Q252" s="46" t="n">
        <f aca="false">Serving!C24</f>
        <v>1024</v>
      </c>
      <c r="R252" s="28" t="s">
        <v>608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3839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1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4490</v>
      </c>
      <c r="B253" s="222" t="s">
        <v>3833</v>
      </c>
      <c r="C253" s="28" t="s">
        <v>4431</v>
      </c>
      <c r="D253" s="28" t="s">
        <v>4133</v>
      </c>
      <c r="E253" s="19" t="s">
        <v>4487</v>
      </c>
      <c r="F253" s="28" t="s">
        <v>94</v>
      </c>
      <c r="G253" s="222" t="s">
        <v>3835</v>
      </c>
      <c r="H253" s="28" t="s">
        <v>608</v>
      </c>
      <c r="I253" s="6" t="s">
        <v>608</v>
      </c>
      <c r="J253" s="28" t="s">
        <v>608</v>
      </c>
      <c r="K253" s="175" t="n">
        <f aca="false">Serving!D24*0.5</f>
        <v>1024</v>
      </c>
      <c r="L253" s="175" t="n">
        <f aca="false">Serving!D24*2</f>
        <v>4096</v>
      </c>
      <c r="M253" s="28" t="s">
        <v>4476</v>
      </c>
      <c r="N253" s="19" t="s">
        <v>4489</v>
      </c>
      <c r="O253" s="6" t="s">
        <v>608</v>
      </c>
      <c r="P253" s="222" t="s">
        <v>1138</v>
      </c>
      <c r="Q253" s="46" t="n">
        <f aca="false">Serving!D24</f>
        <v>2048</v>
      </c>
      <c r="R253" s="28" t="s">
        <v>608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3839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1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4491</v>
      </c>
      <c r="B254" s="222" t="s">
        <v>3833</v>
      </c>
      <c r="C254" s="28" t="s">
        <v>4431</v>
      </c>
      <c r="D254" s="28" t="s">
        <v>3980</v>
      </c>
      <c r="E254" s="19" t="s">
        <v>4487</v>
      </c>
      <c r="F254" s="28" t="s">
        <v>94</v>
      </c>
      <c r="G254" s="222" t="s">
        <v>3835</v>
      </c>
      <c r="H254" s="28" t="s">
        <v>608</v>
      </c>
      <c r="I254" s="6" t="s">
        <v>608</v>
      </c>
      <c r="J254" s="28" t="s">
        <v>608</v>
      </c>
      <c r="K254" s="175" t="n">
        <f aca="false">Serving!E24*0.5</f>
        <v>2048</v>
      </c>
      <c r="L254" s="175" t="n">
        <f aca="false">Serving!E24*2</f>
        <v>8192</v>
      </c>
      <c r="M254" s="28" t="s">
        <v>4476</v>
      </c>
      <c r="N254" s="19" t="s">
        <v>4489</v>
      </c>
      <c r="O254" s="6" t="s">
        <v>608</v>
      </c>
      <c r="P254" s="222" t="s">
        <v>1138</v>
      </c>
      <c r="Q254" s="46" t="n">
        <f aca="false">Serving!E24</f>
        <v>4096</v>
      </c>
      <c r="R254" s="28" t="s">
        <v>608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3839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1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4492</v>
      </c>
      <c r="B255" s="222" t="s">
        <v>3833</v>
      </c>
      <c r="C255" s="28" t="s">
        <v>4493</v>
      </c>
      <c r="D255" s="28" t="s">
        <v>4494</v>
      </c>
      <c r="E255" s="19" t="s">
        <v>4495</v>
      </c>
      <c r="F255" s="28" t="s">
        <v>94</v>
      </c>
      <c r="G255" s="222" t="s">
        <v>3835</v>
      </c>
      <c r="H255" s="28" t="s">
        <v>608</v>
      </c>
      <c r="I255" s="6" t="s">
        <v>608</v>
      </c>
      <c r="J255" s="28" t="s">
        <v>608</v>
      </c>
      <c r="K255" s="175" t="n">
        <f aca="false">MAX(1,Workload!C5*0.5)</f>
        <v>1</v>
      </c>
      <c r="L255" s="175" t="n">
        <f aca="false">Workload!C5*2</f>
        <v>2</v>
      </c>
      <c r="M255" s="28" t="s">
        <v>4496</v>
      </c>
      <c r="N255" s="19" t="s">
        <v>4497</v>
      </c>
      <c r="O255" s="6" t="s">
        <v>608</v>
      </c>
      <c r="P255" s="222" t="s">
        <v>1138</v>
      </c>
      <c r="Q255" s="46" t="n">
        <f aca="false">Workload!C5</f>
        <v>1</v>
      </c>
      <c r="R255" s="28" t="s">
        <v>608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3839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1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4498</v>
      </c>
      <c r="B256" s="222" t="s">
        <v>3833</v>
      </c>
      <c r="C256" s="28" t="s">
        <v>4493</v>
      </c>
      <c r="D256" s="28" t="s">
        <v>4499</v>
      </c>
      <c r="E256" s="19" t="s">
        <v>4495</v>
      </c>
      <c r="F256" s="28" t="s">
        <v>94</v>
      </c>
      <c r="G256" s="222" t="s">
        <v>3835</v>
      </c>
      <c r="H256" s="28" t="s">
        <v>608</v>
      </c>
      <c r="I256" s="6" t="s">
        <v>608</v>
      </c>
      <c r="J256" s="28" t="s">
        <v>608</v>
      </c>
      <c r="K256" s="175" t="n">
        <f aca="false">MAX(1,Workload!D5*0.5)</f>
        <v>1</v>
      </c>
      <c r="L256" s="175" t="n">
        <f aca="false">Workload!D5*2</f>
        <v>2</v>
      </c>
      <c r="M256" s="28" t="s">
        <v>4496</v>
      </c>
      <c r="N256" s="19" t="s">
        <v>4497</v>
      </c>
      <c r="O256" s="6" t="s">
        <v>608</v>
      </c>
      <c r="P256" s="222" t="s">
        <v>1138</v>
      </c>
      <c r="Q256" s="46" t="n">
        <f aca="false">Workload!D5</f>
        <v>1</v>
      </c>
      <c r="R256" s="28" t="s">
        <v>608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3839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1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4500</v>
      </c>
      <c r="B257" s="222" t="s">
        <v>3833</v>
      </c>
      <c r="C257" s="28" t="s">
        <v>4493</v>
      </c>
      <c r="D257" s="28" t="s">
        <v>3684</v>
      </c>
      <c r="E257" s="19" t="s">
        <v>4495</v>
      </c>
      <c r="F257" s="28" t="s">
        <v>94</v>
      </c>
      <c r="G257" s="222" t="s">
        <v>3835</v>
      </c>
      <c r="H257" s="28" t="s">
        <v>608</v>
      </c>
      <c r="I257" s="6" t="s">
        <v>608</v>
      </c>
      <c r="J257" s="28" t="s">
        <v>608</v>
      </c>
      <c r="K257" s="175" t="n">
        <f aca="false">MAX(1,Workload!E5*0.5)</f>
        <v>2</v>
      </c>
      <c r="L257" s="175" t="n">
        <f aca="false">Workload!E5*2</f>
        <v>8</v>
      </c>
      <c r="M257" s="28" t="s">
        <v>4496</v>
      </c>
      <c r="N257" s="19" t="s">
        <v>4497</v>
      </c>
      <c r="O257" s="6" t="s">
        <v>608</v>
      </c>
      <c r="P257" s="222" t="s">
        <v>1138</v>
      </c>
      <c r="Q257" s="46" t="n">
        <f aca="false">Workload!E5</f>
        <v>4</v>
      </c>
      <c r="R257" s="28" t="s">
        <v>608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3839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1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4501</v>
      </c>
      <c r="B258" s="222" t="s">
        <v>3833</v>
      </c>
      <c r="C258" s="28" t="s">
        <v>4493</v>
      </c>
      <c r="D258" s="28" t="s">
        <v>4502</v>
      </c>
      <c r="E258" s="19" t="s">
        <v>4495</v>
      </c>
      <c r="F258" s="28" t="s">
        <v>94</v>
      </c>
      <c r="G258" s="222" t="s">
        <v>3835</v>
      </c>
      <c r="H258" s="28" t="s">
        <v>608</v>
      </c>
      <c r="I258" s="6" t="s">
        <v>608</v>
      </c>
      <c r="J258" s="28" t="s">
        <v>608</v>
      </c>
      <c r="K258" s="175" t="n">
        <f aca="false">MAX(1,Workload!F5*0.5)</f>
        <v>2</v>
      </c>
      <c r="L258" s="175" t="n">
        <f aca="false">Workload!F5*2</f>
        <v>8</v>
      </c>
      <c r="M258" s="28" t="s">
        <v>4496</v>
      </c>
      <c r="N258" s="19" t="s">
        <v>4497</v>
      </c>
      <c r="O258" s="6" t="s">
        <v>608</v>
      </c>
      <c r="P258" s="222" t="s">
        <v>1138</v>
      </c>
      <c r="Q258" s="46" t="n">
        <f aca="false">Workload!F5</f>
        <v>4</v>
      </c>
      <c r="R258" s="28" t="s">
        <v>608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3839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1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4503</v>
      </c>
      <c r="B259" s="222" t="s">
        <v>3833</v>
      </c>
      <c r="C259" s="28" t="s">
        <v>4493</v>
      </c>
      <c r="D259" s="28" t="s">
        <v>4504</v>
      </c>
      <c r="E259" s="19" t="s">
        <v>4495</v>
      </c>
      <c r="F259" s="28" t="s">
        <v>94</v>
      </c>
      <c r="G259" s="222" t="s">
        <v>3835</v>
      </c>
      <c r="H259" s="28" t="s">
        <v>608</v>
      </c>
      <c r="I259" s="6" t="s">
        <v>608</v>
      </c>
      <c r="J259" s="28" t="s">
        <v>608</v>
      </c>
      <c r="K259" s="175" t="n">
        <f aca="false">MAX(1,Workload!G5*0.5)</f>
        <v>15</v>
      </c>
      <c r="L259" s="175" t="n">
        <f aca="false">Workload!G5*2</f>
        <v>60</v>
      </c>
      <c r="M259" s="28" t="s">
        <v>4496</v>
      </c>
      <c r="N259" s="19" t="s">
        <v>4505</v>
      </c>
      <c r="O259" s="6" t="s">
        <v>608</v>
      </c>
      <c r="P259" s="222" t="s">
        <v>1138</v>
      </c>
      <c r="Q259" s="46" t="n">
        <f aca="false">Workload!G5</f>
        <v>30</v>
      </c>
      <c r="R259" s="28" t="s">
        <v>608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3839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1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4506</v>
      </c>
      <c r="B260" s="222" t="s">
        <v>3833</v>
      </c>
      <c r="C260" s="28" t="s">
        <v>4493</v>
      </c>
      <c r="D260" s="28" t="s">
        <v>3998</v>
      </c>
      <c r="E260" s="19" t="s">
        <v>4507</v>
      </c>
      <c r="F260" s="28" t="s">
        <v>94</v>
      </c>
      <c r="G260" s="222" t="s">
        <v>3835</v>
      </c>
      <c r="H260" s="28" t="s">
        <v>608</v>
      </c>
      <c r="I260" s="6" t="s">
        <v>608</v>
      </c>
      <c r="J260" s="28" t="s">
        <v>608</v>
      </c>
      <c r="K260" s="175" t="n">
        <f aca="false">Workload!C6*0.5</f>
        <v>1000</v>
      </c>
      <c r="L260" s="175" t="n">
        <f aca="false">Workload!C6*2</f>
        <v>4000</v>
      </c>
      <c r="M260" s="28" t="s">
        <v>4476</v>
      </c>
      <c r="N260" s="19" t="s">
        <v>4508</v>
      </c>
      <c r="O260" s="6" t="s">
        <v>608</v>
      </c>
      <c r="P260" s="222" t="s">
        <v>1137</v>
      </c>
      <c r="Q260" s="46" t="n">
        <f aca="false">Workload!C6</f>
        <v>2000</v>
      </c>
      <c r="R260" s="28" t="s">
        <v>608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3839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1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4509</v>
      </c>
      <c r="B261" s="222" t="s">
        <v>3833</v>
      </c>
      <c r="C261" s="28" t="s">
        <v>4493</v>
      </c>
      <c r="D261" s="28" t="s">
        <v>4002</v>
      </c>
      <c r="E261" s="19" t="s">
        <v>4507</v>
      </c>
      <c r="F261" s="28" t="s">
        <v>94</v>
      </c>
      <c r="G261" s="222" t="s">
        <v>3835</v>
      </c>
      <c r="H261" s="28" t="s">
        <v>608</v>
      </c>
      <c r="I261" s="6" t="s">
        <v>608</v>
      </c>
      <c r="J261" s="28" t="s">
        <v>608</v>
      </c>
      <c r="K261" s="175" t="n">
        <f aca="false">Workload!D6*0.5</f>
        <v>1000</v>
      </c>
      <c r="L261" s="175" t="n">
        <f aca="false">Workload!D6*2</f>
        <v>4000</v>
      </c>
      <c r="M261" s="28" t="s">
        <v>4476</v>
      </c>
      <c r="N261" s="19" t="s">
        <v>4508</v>
      </c>
      <c r="O261" s="6" t="s">
        <v>608</v>
      </c>
      <c r="P261" s="222" t="s">
        <v>1137</v>
      </c>
      <c r="Q261" s="46" t="n">
        <f aca="false">Workload!D6</f>
        <v>2000</v>
      </c>
      <c r="R261" s="28" t="s">
        <v>608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3839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1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4510</v>
      </c>
      <c r="B262" s="222" t="s">
        <v>3833</v>
      </c>
      <c r="C262" s="28" t="s">
        <v>4493</v>
      </c>
      <c r="D262" s="28" t="s">
        <v>3686</v>
      </c>
      <c r="E262" s="19" t="s">
        <v>4507</v>
      </c>
      <c r="F262" s="28" t="s">
        <v>94</v>
      </c>
      <c r="G262" s="222" t="s">
        <v>3835</v>
      </c>
      <c r="H262" s="28" t="s">
        <v>608</v>
      </c>
      <c r="I262" s="6" t="s">
        <v>608</v>
      </c>
      <c r="J262" s="28" t="s">
        <v>608</v>
      </c>
      <c r="K262" s="175" t="n">
        <f aca="false">Workload!E6*0.5</f>
        <v>1500</v>
      </c>
      <c r="L262" s="175" t="n">
        <f aca="false">Workload!E6*2</f>
        <v>6000</v>
      </c>
      <c r="M262" s="28" t="s">
        <v>4476</v>
      </c>
      <c r="N262" s="19" t="s">
        <v>4508</v>
      </c>
      <c r="O262" s="6" t="s">
        <v>608</v>
      </c>
      <c r="P262" s="222" t="s">
        <v>1137</v>
      </c>
      <c r="Q262" s="46" t="n">
        <f aca="false">Workload!E6</f>
        <v>3000</v>
      </c>
      <c r="R262" s="28" t="s">
        <v>608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3839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1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4511</v>
      </c>
      <c r="B263" s="222" t="s">
        <v>3833</v>
      </c>
      <c r="C263" s="28" t="s">
        <v>4493</v>
      </c>
      <c r="D263" s="28" t="s">
        <v>4006</v>
      </c>
      <c r="E263" s="19" t="s">
        <v>4507</v>
      </c>
      <c r="F263" s="28" t="s">
        <v>94</v>
      </c>
      <c r="G263" s="222" t="s">
        <v>3835</v>
      </c>
      <c r="H263" s="28" t="s">
        <v>608</v>
      </c>
      <c r="I263" s="6" t="s">
        <v>608</v>
      </c>
      <c r="J263" s="28" t="s">
        <v>608</v>
      </c>
      <c r="K263" s="175" t="n">
        <f aca="false">Workload!F6*0.5</f>
        <v>1500</v>
      </c>
      <c r="L263" s="175" t="n">
        <f aca="false">Workload!F6*2</f>
        <v>6000</v>
      </c>
      <c r="M263" s="28" t="s">
        <v>4476</v>
      </c>
      <c r="N263" s="19" t="s">
        <v>4508</v>
      </c>
      <c r="O263" s="6" t="s">
        <v>608</v>
      </c>
      <c r="P263" s="222" t="s">
        <v>1137</v>
      </c>
      <c r="Q263" s="46" t="n">
        <f aca="false">Workload!F6</f>
        <v>3000</v>
      </c>
      <c r="R263" s="28" t="s">
        <v>608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3839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1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4512</v>
      </c>
      <c r="B264" s="222" t="s">
        <v>3833</v>
      </c>
      <c r="C264" s="28" t="s">
        <v>4493</v>
      </c>
      <c r="D264" s="28" t="s">
        <v>4008</v>
      </c>
      <c r="E264" s="19" t="s">
        <v>4507</v>
      </c>
      <c r="F264" s="28" t="s">
        <v>94</v>
      </c>
      <c r="G264" s="222" t="s">
        <v>3835</v>
      </c>
      <c r="H264" s="28" t="s">
        <v>608</v>
      </c>
      <c r="I264" s="6" t="s">
        <v>608</v>
      </c>
      <c r="J264" s="28" t="s">
        <v>608</v>
      </c>
      <c r="K264" s="175" t="n">
        <f aca="false">Workload!G6*0.5</f>
        <v>6000</v>
      </c>
      <c r="L264" s="175" t="n">
        <f aca="false">Workload!G6*2</f>
        <v>24000</v>
      </c>
      <c r="M264" s="28" t="s">
        <v>4476</v>
      </c>
      <c r="N264" s="19" t="s">
        <v>4508</v>
      </c>
      <c r="O264" s="6" t="s">
        <v>608</v>
      </c>
      <c r="P264" s="222" t="s">
        <v>1137</v>
      </c>
      <c r="Q264" s="46" t="n">
        <f aca="false">Workload!G6</f>
        <v>12000</v>
      </c>
      <c r="R264" s="28" t="s">
        <v>608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3839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1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4513</v>
      </c>
      <c r="B265" s="222" t="s">
        <v>3833</v>
      </c>
      <c r="C265" s="28" t="s">
        <v>4493</v>
      </c>
      <c r="D265" s="28" t="s">
        <v>4325</v>
      </c>
      <c r="E265" s="19" t="s">
        <v>4514</v>
      </c>
      <c r="F265" s="28" t="s">
        <v>94</v>
      </c>
      <c r="G265" s="222" t="s">
        <v>3835</v>
      </c>
      <c r="H265" s="28" t="s">
        <v>608</v>
      </c>
      <c r="I265" s="6" t="s">
        <v>608</v>
      </c>
      <c r="J265" s="28" t="s">
        <v>608</v>
      </c>
      <c r="K265" s="175" t="n">
        <f aca="false">Workload!C7*0.5</f>
        <v>250</v>
      </c>
      <c r="L265" s="175" t="n">
        <f aca="false">Workload!C7*2</f>
        <v>1000</v>
      </c>
      <c r="M265" s="28" t="s">
        <v>4476</v>
      </c>
      <c r="N265" s="19" t="s">
        <v>4508</v>
      </c>
      <c r="O265" s="6" t="s">
        <v>608</v>
      </c>
      <c r="P265" s="222" t="s">
        <v>3894</v>
      </c>
      <c r="Q265" s="46" t="n">
        <f aca="false">Workload!C7</f>
        <v>500</v>
      </c>
      <c r="R265" s="28" t="s">
        <v>608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3839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1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4515</v>
      </c>
      <c r="B266" s="222" t="s">
        <v>3833</v>
      </c>
      <c r="C266" s="28" t="s">
        <v>4493</v>
      </c>
      <c r="D266" s="28" t="s">
        <v>4328</v>
      </c>
      <c r="E266" s="19" t="s">
        <v>4514</v>
      </c>
      <c r="F266" s="28" t="s">
        <v>94</v>
      </c>
      <c r="G266" s="222" t="s">
        <v>3835</v>
      </c>
      <c r="H266" s="28" t="s">
        <v>608</v>
      </c>
      <c r="I266" s="6" t="s">
        <v>608</v>
      </c>
      <c r="J266" s="28" t="s">
        <v>608</v>
      </c>
      <c r="K266" s="175" t="n">
        <f aca="false">Workload!D7*0.5</f>
        <v>250</v>
      </c>
      <c r="L266" s="175" t="n">
        <f aca="false">Workload!D7*2</f>
        <v>1000</v>
      </c>
      <c r="M266" s="28" t="s">
        <v>4476</v>
      </c>
      <c r="N266" s="19" t="s">
        <v>4508</v>
      </c>
      <c r="O266" s="6" t="s">
        <v>608</v>
      </c>
      <c r="P266" s="222" t="s">
        <v>3894</v>
      </c>
      <c r="Q266" s="46" t="n">
        <f aca="false">Workload!D7</f>
        <v>500</v>
      </c>
      <c r="R266" s="28" t="s">
        <v>608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3839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1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4516</v>
      </c>
      <c r="B267" s="222" t="s">
        <v>3833</v>
      </c>
      <c r="C267" s="28" t="s">
        <v>4493</v>
      </c>
      <c r="D267" s="28" t="s">
        <v>3689</v>
      </c>
      <c r="E267" s="19" t="s">
        <v>4514</v>
      </c>
      <c r="F267" s="28" t="s">
        <v>94</v>
      </c>
      <c r="G267" s="222" t="s">
        <v>3835</v>
      </c>
      <c r="H267" s="28" t="s">
        <v>608</v>
      </c>
      <c r="I267" s="6" t="s">
        <v>608</v>
      </c>
      <c r="J267" s="28" t="s">
        <v>608</v>
      </c>
      <c r="K267" s="175" t="n">
        <f aca="false">Workload!E7*0.5</f>
        <v>600</v>
      </c>
      <c r="L267" s="175" t="n">
        <f aca="false">Workload!E7*2</f>
        <v>2400</v>
      </c>
      <c r="M267" s="28" t="s">
        <v>4476</v>
      </c>
      <c r="N267" s="19" t="s">
        <v>4508</v>
      </c>
      <c r="O267" s="6" t="s">
        <v>608</v>
      </c>
      <c r="P267" s="222" t="s">
        <v>3894</v>
      </c>
      <c r="Q267" s="46" t="n">
        <f aca="false">Workload!E7</f>
        <v>1200</v>
      </c>
      <c r="R267" s="28" t="s">
        <v>608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3839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1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4517</v>
      </c>
      <c r="B268" s="222" t="s">
        <v>3833</v>
      </c>
      <c r="C268" s="28" t="s">
        <v>4493</v>
      </c>
      <c r="D268" s="28" t="s">
        <v>4518</v>
      </c>
      <c r="E268" s="19" t="s">
        <v>4514</v>
      </c>
      <c r="F268" s="28" t="s">
        <v>94</v>
      </c>
      <c r="G268" s="222" t="s">
        <v>3835</v>
      </c>
      <c r="H268" s="28" t="s">
        <v>608</v>
      </c>
      <c r="I268" s="6" t="s">
        <v>608</v>
      </c>
      <c r="J268" s="28" t="s">
        <v>608</v>
      </c>
      <c r="K268" s="175" t="n">
        <f aca="false">Workload!F7*0.5</f>
        <v>600</v>
      </c>
      <c r="L268" s="175" t="n">
        <f aca="false">Workload!F7*2</f>
        <v>2400</v>
      </c>
      <c r="M268" s="28" t="s">
        <v>4476</v>
      </c>
      <c r="N268" s="19" t="s">
        <v>4508</v>
      </c>
      <c r="O268" s="6" t="s">
        <v>608</v>
      </c>
      <c r="P268" s="222" t="s">
        <v>3894</v>
      </c>
      <c r="Q268" s="46" t="n">
        <f aca="false">Workload!F7</f>
        <v>1200</v>
      </c>
      <c r="R268" s="28" t="s">
        <v>608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3839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1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4519</v>
      </c>
      <c r="B269" s="222" t="s">
        <v>3833</v>
      </c>
      <c r="C269" s="28" t="s">
        <v>4493</v>
      </c>
      <c r="D269" s="28" t="s">
        <v>4520</v>
      </c>
      <c r="E269" s="19" t="s">
        <v>4514</v>
      </c>
      <c r="F269" s="28" t="s">
        <v>94</v>
      </c>
      <c r="G269" s="222" t="s">
        <v>3835</v>
      </c>
      <c r="H269" s="28" t="s">
        <v>608</v>
      </c>
      <c r="I269" s="6" t="s">
        <v>608</v>
      </c>
      <c r="J269" s="28" t="s">
        <v>608</v>
      </c>
      <c r="K269" s="175" t="n">
        <f aca="false">Workload!G7*0.5</f>
        <v>1000</v>
      </c>
      <c r="L269" s="175" t="n">
        <f aca="false">Workload!G7*2</f>
        <v>4000</v>
      </c>
      <c r="M269" s="28" t="s">
        <v>4476</v>
      </c>
      <c r="N269" s="19" t="s">
        <v>4508</v>
      </c>
      <c r="O269" s="6" t="s">
        <v>608</v>
      </c>
      <c r="P269" s="222" t="s">
        <v>3894</v>
      </c>
      <c r="Q269" s="46" t="n">
        <f aca="false">Workload!G7</f>
        <v>2000</v>
      </c>
      <c r="R269" s="28" t="s">
        <v>608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3839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1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4521</v>
      </c>
      <c r="B270" s="222" t="s">
        <v>3833</v>
      </c>
      <c r="C270" s="28" t="s">
        <v>4493</v>
      </c>
      <c r="D270" s="28" t="s">
        <v>4011</v>
      </c>
      <c r="E270" s="19" t="s">
        <v>4522</v>
      </c>
      <c r="F270" s="28" t="s">
        <v>94</v>
      </c>
      <c r="G270" s="222" t="s">
        <v>3835</v>
      </c>
      <c r="H270" s="28" t="s">
        <v>608</v>
      </c>
      <c r="I270" s="6" t="s">
        <v>608</v>
      </c>
      <c r="J270" s="28" t="s">
        <v>608</v>
      </c>
      <c r="K270" s="175" t="n">
        <f aca="false">Workload!C8*0.5</f>
        <v>0</v>
      </c>
      <c r="L270" s="175" t="n">
        <f aca="false">Workload!C8*2</f>
        <v>0</v>
      </c>
      <c r="M270" s="28" t="s">
        <v>4476</v>
      </c>
      <c r="N270" s="223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608</v>
      </c>
      <c r="P270" s="222" t="s">
        <v>3894</v>
      </c>
      <c r="Q270" s="46" t="n">
        <f aca="false">Workload!C8</f>
        <v>0</v>
      </c>
      <c r="R270" s="28" t="s">
        <v>608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3839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1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4523</v>
      </c>
      <c r="B271" s="222" t="s">
        <v>3833</v>
      </c>
      <c r="C271" s="28" t="s">
        <v>4493</v>
      </c>
      <c r="D271" s="28" t="s">
        <v>4014</v>
      </c>
      <c r="E271" s="19" t="s">
        <v>4522</v>
      </c>
      <c r="F271" s="28" t="s">
        <v>94</v>
      </c>
      <c r="G271" s="222" t="s">
        <v>3835</v>
      </c>
      <c r="H271" s="28" t="s">
        <v>608</v>
      </c>
      <c r="I271" s="6" t="s">
        <v>608</v>
      </c>
      <c r="J271" s="28" t="s">
        <v>608</v>
      </c>
      <c r="K271" s="175" t="n">
        <f aca="false">Workload!D8*0.5</f>
        <v>1500</v>
      </c>
      <c r="L271" s="175" t="n">
        <f aca="false">Workload!D8*2</f>
        <v>6000</v>
      </c>
      <c r="M271" s="28" t="s">
        <v>4476</v>
      </c>
      <c r="N271" s="223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608</v>
      </c>
      <c r="P271" s="222" t="s">
        <v>3894</v>
      </c>
      <c r="Q271" s="46" t="n">
        <f aca="false">Workload!D8</f>
        <v>3000</v>
      </c>
      <c r="R271" s="28" t="s">
        <v>608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3839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1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4524</v>
      </c>
      <c r="B272" s="222" t="s">
        <v>3833</v>
      </c>
      <c r="C272" s="28" t="s">
        <v>4493</v>
      </c>
      <c r="D272" s="28" t="s">
        <v>3692</v>
      </c>
      <c r="E272" s="19" t="s">
        <v>4522</v>
      </c>
      <c r="F272" s="28" t="s">
        <v>94</v>
      </c>
      <c r="G272" s="222" t="s">
        <v>3835</v>
      </c>
      <c r="H272" s="28" t="s">
        <v>608</v>
      </c>
      <c r="I272" s="6" t="s">
        <v>608</v>
      </c>
      <c r="J272" s="28" t="s">
        <v>608</v>
      </c>
      <c r="K272" s="175" t="n">
        <f aca="false">Workload!E8*0.5</f>
        <v>200</v>
      </c>
      <c r="L272" s="175" t="n">
        <f aca="false">Workload!E8*2</f>
        <v>800</v>
      </c>
      <c r="M272" s="28" t="s">
        <v>4476</v>
      </c>
      <c r="N272" s="223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608</v>
      </c>
      <c r="P272" s="222" t="s">
        <v>3894</v>
      </c>
      <c r="Q272" s="46" t="n">
        <f aca="false">Workload!E8</f>
        <v>400</v>
      </c>
      <c r="R272" s="28" t="s">
        <v>608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3839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1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4525</v>
      </c>
      <c r="B273" s="222" t="s">
        <v>3833</v>
      </c>
      <c r="C273" s="28" t="s">
        <v>4493</v>
      </c>
      <c r="D273" s="28" t="s">
        <v>4019</v>
      </c>
      <c r="E273" s="19" t="s">
        <v>4522</v>
      </c>
      <c r="F273" s="28" t="s">
        <v>94</v>
      </c>
      <c r="G273" s="222" t="s">
        <v>3835</v>
      </c>
      <c r="H273" s="28" t="s">
        <v>608</v>
      </c>
      <c r="I273" s="6" t="s">
        <v>608</v>
      </c>
      <c r="J273" s="28" t="s">
        <v>608</v>
      </c>
      <c r="K273" s="175" t="n">
        <f aca="false">Workload!F8*0.5</f>
        <v>200</v>
      </c>
      <c r="L273" s="175" t="n">
        <f aca="false">Workload!F8*2</f>
        <v>800</v>
      </c>
      <c r="M273" s="28" t="s">
        <v>4476</v>
      </c>
      <c r="N273" s="223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608</v>
      </c>
      <c r="P273" s="222" t="s">
        <v>3894</v>
      </c>
      <c r="Q273" s="46" t="n">
        <f aca="false">Workload!F8</f>
        <v>400</v>
      </c>
      <c r="R273" s="28" t="s">
        <v>608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3839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1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4526</v>
      </c>
      <c r="B274" s="222" t="s">
        <v>3833</v>
      </c>
      <c r="C274" s="28" t="s">
        <v>4493</v>
      </c>
      <c r="D274" s="28" t="s">
        <v>4022</v>
      </c>
      <c r="E274" s="19" t="s">
        <v>4522</v>
      </c>
      <c r="F274" s="28" t="s">
        <v>94</v>
      </c>
      <c r="G274" s="222" t="s">
        <v>3835</v>
      </c>
      <c r="H274" s="28" t="s">
        <v>608</v>
      </c>
      <c r="I274" s="6" t="s">
        <v>608</v>
      </c>
      <c r="J274" s="28" t="s">
        <v>608</v>
      </c>
      <c r="K274" s="175" t="n">
        <f aca="false">Workload!G8*0.5</f>
        <v>300</v>
      </c>
      <c r="L274" s="175" t="n">
        <f aca="false">Workload!G8*2</f>
        <v>1200</v>
      </c>
      <c r="M274" s="28" t="s">
        <v>4476</v>
      </c>
      <c r="N274" s="223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608</v>
      </c>
      <c r="P274" s="222" t="s">
        <v>1138</v>
      </c>
      <c r="Q274" s="46" t="n">
        <f aca="false">Workload!G8</f>
        <v>600</v>
      </c>
      <c r="R274" s="28" t="s">
        <v>608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3839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1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4527</v>
      </c>
      <c r="B275" s="222" t="s">
        <v>3833</v>
      </c>
      <c r="C275" s="28" t="s">
        <v>4493</v>
      </c>
      <c r="D275" s="28" t="s">
        <v>4025</v>
      </c>
      <c r="E275" s="19" t="s">
        <v>4528</v>
      </c>
      <c r="F275" s="28" t="s">
        <v>94</v>
      </c>
      <c r="G275" s="222" t="s">
        <v>3835</v>
      </c>
      <c r="H275" s="28" t="s">
        <v>608</v>
      </c>
      <c r="I275" s="6" t="s">
        <v>608</v>
      </c>
      <c r="J275" s="28" t="s">
        <v>608</v>
      </c>
      <c r="K275" s="175" t="n">
        <f aca="false">Workload!C9*0.5</f>
        <v>250</v>
      </c>
      <c r="L275" s="175" t="n">
        <f aca="false">Workload!C9*2</f>
        <v>1000</v>
      </c>
      <c r="M275" s="28" t="s">
        <v>4476</v>
      </c>
      <c r="N275" s="19" t="s">
        <v>4508</v>
      </c>
      <c r="O275" s="6" t="s">
        <v>608</v>
      </c>
      <c r="P275" s="222" t="s">
        <v>3894</v>
      </c>
      <c r="Q275" s="46" t="n">
        <f aca="false">Workload!C9</f>
        <v>500</v>
      </c>
      <c r="R275" s="28" t="s">
        <v>608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3839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1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4529</v>
      </c>
      <c r="B276" s="222" t="s">
        <v>3833</v>
      </c>
      <c r="C276" s="28" t="s">
        <v>4493</v>
      </c>
      <c r="D276" s="28" t="s">
        <v>3848</v>
      </c>
      <c r="E276" s="19" t="s">
        <v>4528</v>
      </c>
      <c r="F276" s="28" t="s">
        <v>94</v>
      </c>
      <c r="G276" s="222" t="s">
        <v>3835</v>
      </c>
      <c r="H276" s="28" t="s">
        <v>608</v>
      </c>
      <c r="I276" s="6" t="s">
        <v>608</v>
      </c>
      <c r="J276" s="28" t="s">
        <v>608</v>
      </c>
      <c r="K276" s="175" t="n">
        <f aca="false">Workload!D9*0.5</f>
        <v>350</v>
      </c>
      <c r="L276" s="175" t="n">
        <f aca="false">Workload!D9*2</f>
        <v>1400</v>
      </c>
      <c r="M276" s="28" t="s">
        <v>4476</v>
      </c>
      <c r="N276" s="19" t="s">
        <v>4508</v>
      </c>
      <c r="O276" s="6" t="s">
        <v>608</v>
      </c>
      <c r="P276" s="222" t="s">
        <v>3894</v>
      </c>
      <c r="Q276" s="46" t="n">
        <f aca="false">Workload!D9</f>
        <v>700</v>
      </c>
      <c r="R276" s="28" t="s">
        <v>608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3839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1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4530</v>
      </c>
      <c r="B277" s="222" t="s">
        <v>3833</v>
      </c>
      <c r="C277" s="28" t="s">
        <v>4493</v>
      </c>
      <c r="D277" s="28" t="s">
        <v>3695</v>
      </c>
      <c r="E277" s="19" t="s">
        <v>4528</v>
      </c>
      <c r="F277" s="28" t="s">
        <v>94</v>
      </c>
      <c r="G277" s="222" t="s">
        <v>3835</v>
      </c>
      <c r="H277" s="28" t="s">
        <v>608</v>
      </c>
      <c r="I277" s="6" t="s">
        <v>608</v>
      </c>
      <c r="J277" s="28" t="s">
        <v>608</v>
      </c>
      <c r="K277" s="175" t="n">
        <f aca="false">Workload!E9*0.5</f>
        <v>100</v>
      </c>
      <c r="L277" s="175" t="n">
        <f aca="false">Workload!E9*2</f>
        <v>400</v>
      </c>
      <c r="M277" s="28" t="s">
        <v>4476</v>
      </c>
      <c r="N277" s="19" t="s">
        <v>4508</v>
      </c>
      <c r="O277" s="6" t="s">
        <v>608</v>
      </c>
      <c r="P277" s="222" t="s">
        <v>3894</v>
      </c>
      <c r="Q277" s="46" t="n">
        <f aca="false">Workload!E9</f>
        <v>200</v>
      </c>
      <c r="R277" s="28" t="s">
        <v>608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3839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1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4531</v>
      </c>
      <c r="B278" s="222" t="s">
        <v>3833</v>
      </c>
      <c r="C278" s="28" t="s">
        <v>4493</v>
      </c>
      <c r="D278" s="28" t="s">
        <v>3850</v>
      </c>
      <c r="E278" s="19" t="s">
        <v>4528</v>
      </c>
      <c r="F278" s="28" t="s">
        <v>94</v>
      </c>
      <c r="G278" s="222" t="s">
        <v>3835</v>
      </c>
      <c r="H278" s="28" t="s">
        <v>608</v>
      </c>
      <c r="I278" s="6" t="s">
        <v>608</v>
      </c>
      <c r="J278" s="28" t="s">
        <v>608</v>
      </c>
      <c r="K278" s="175" t="n">
        <f aca="false">Workload!F9*0.5</f>
        <v>100</v>
      </c>
      <c r="L278" s="175" t="n">
        <f aca="false">Workload!F9*2</f>
        <v>400</v>
      </c>
      <c r="M278" s="28" t="s">
        <v>4476</v>
      </c>
      <c r="N278" s="19" t="s">
        <v>4508</v>
      </c>
      <c r="O278" s="6" t="s">
        <v>608</v>
      </c>
      <c r="P278" s="222" t="s">
        <v>3894</v>
      </c>
      <c r="Q278" s="46" t="n">
        <f aca="false">Workload!F9</f>
        <v>200</v>
      </c>
      <c r="R278" s="28" t="s">
        <v>608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3839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1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4532</v>
      </c>
      <c r="B279" s="222" t="s">
        <v>3833</v>
      </c>
      <c r="C279" s="28" t="s">
        <v>4493</v>
      </c>
      <c r="D279" s="28" t="s">
        <v>4040</v>
      </c>
      <c r="E279" s="19" t="s">
        <v>4528</v>
      </c>
      <c r="F279" s="28" t="s">
        <v>94</v>
      </c>
      <c r="G279" s="222" t="s">
        <v>3835</v>
      </c>
      <c r="H279" s="28" t="s">
        <v>608</v>
      </c>
      <c r="I279" s="6" t="s">
        <v>608</v>
      </c>
      <c r="J279" s="28" t="s">
        <v>608</v>
      </c>
      <c r="K279" s="175" t="n">
        <f aca="false">Workload!G9*0.5</f>
        <v>200</v>
      </c>
      <c r="L279" s="175" t="n">
        <f aca="false">Workload!G9*2</f>
        <v>800</v>
      </c>
      <c r="M279" s="28" t="s">
        <v>4476</v>
      </c>
      <c r="N279" s="19" t="s">
        <v>4533</v>
      </c>
      <c r="O279" s="6" t="s">
        <v>608</v>
      </c>
      <c r="P279" s="222" t="s">
        <v>1138</v>
      </c>
      <c r="Q279" s="46" t="n">
        <f aca="false">Workload!G9</f>
        <v>400</v>
      </c>
      <c r="R279" s="28" t="s">
        <v>608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3839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1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4534</v>
      </c>
      <c r="B280" s="222" t="s">
        <v>3833</v>
      </c>
      <c r="C280" s="28" t="s">
        <v>4493</v>
      </c>
      <c r="D280" s="28" t="s">
        <v>4045</v>
      </c>
      <c r="E280" s="19" t="s">
        <v>4535</v>
      </c>
      <c r="F280" s="28" t="s">
        <v>94</v>
      </c>
      <c r="G280" s="222" t="s">
        <v>3835</v>
      </c>
      <c r="H280" s="28" t="s">
        <v>608</v>
      </c>
      <c r="I280" s="6" t="s">
        <v>608</v>
      </c>
      <c r="J280" s="28" t="s">
        <v>608</v>
      </c>
      <c r="K280" s="224" t="n">
        <v>0</v>
      </c>
      <c r="L280" s="224" t="n">
        <v>1</v>
      </c>
      <c r="M280" s="28" t="s">
        <v>4536</v>
      </c>
      <c r="N280" s="223" t="str">
        <f aca="false">Workload!$H$10</f>
        <v>Assumed：多數 API 不保留前輪思考（標準 harness）</v>
      </c>
      <c r="O280" s="6" t="s">
        <v>608</v>
      </c>
      <c r="P280" s="222" t="s">
        <v>3838</v>
      </c>
      <c r="Q280" s="185" t="n">
        <f aca="false">Workload!C10</f>
        <v>0</v>
      </c>
      <c r="R280" s="28" t="s">
        <v>608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3839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1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4537</v>
      </c>
      <c r="B281" s="222" t="s">
        <v>3833</v>
      </c>
      <c r="C281" s="28" t="s">
        <v>4493</v>
      </c>
      <c r="D281" s="28" t="s">
        <v>3853</v>
      </c>
      <c r="E281" s="19" t="s">
        <v>4535</v>
      </c>
      <c r="F281" s="28" t="s">
        <v>94</v>
      </c>
      <c r="G281" s="222" t="s">
        <v>3835</v>
      </c>
      <c r="H281" s="28" t="s">
        <v>608</v>
      </c>
      <c r="I281" s="6" t="s">
        <v>608</v>
      </c>
      <c r="J281" s="28" t="s">
        <v>608</v>
      </c>
      <c r="K281" s="224" t="n">
        <v>0</v>
      </c>
      <c r="L281" s="224" t="n">
        <v>1</v>
      </c>
      <c r="M281" s="28" t="s">
        <v>4536</v>
      </c>
      <c r="N281" s="223" t="str">
        <f aca="false">Workload!$H$10</f>
        <v>Assumed：多數 API 不保留前輪思考（標準 harness）</v>
      </c>
      <c r="O281" s="6" t="s">
        <v>608</v>
      </c>
      <c r="P281" s="222" t="s">
        <v>3838</v>
      </c>
      <c r="Q281" s="185" t="n">
        <f aca="false">Workload!D10</f>
        <v>0</v>
      </c>
      <c r="R281" s="28" t="s">
        <v>608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3839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1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4538</v>
      </c>
      <c r="B282" s="222" t="s">
        <v>3833</v>
      </c>
      <c r="C282" s="28" t="s">
        <v>4493</v>
      </c>
      <c r="D282" s="28" t="s">
        <v>3698</v>
      </c>
      <c r="E282" s="19" t="s">
        <v>4535</v>
      </c>
      <c r="F282" s="28" t="s">
        <v>94</v>
      </c>
      <c r="G282" s="222" t="s">
        <v>3835</v>
      </c>
      <c r="H282" s="28" t="s">
        <v>608</v>
      </c>
      <c r="I282" s="6" t="s">
        <v>608</v>
      </c>
      <c r="J282" s="28" t="s">
        <v>608</v>
      </c>
      <c r="K282" s="224" t="n">
        <v>0</v>
      </c>
      <c r="L282" s="224" t="n">
        <v>1</v>
      </c>
      <c r="M282" s="28" t="s">
        <v>4536</v>
      </c>
      <c r="N282" s="223" t="str">
        <f aca="false">Workload!$H$10</f>
        <v>Assumed：多數 API 不保留前輪思考（標準 harness）</v>
      </c>
      <c r="O282" s="6" t="s">
        <v>608</v>
      </c>
      <c r="P282" s="222" t="s">
        <v>3838</v>
      </c>
      <c r="Q282" s="185" t="n">
        <f aca="false">Workload!E10</f>
        <v>0</v>
      </c>
      <c r="R282" s="28" t="s">
        <v>608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3839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1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4539</v>
      </c>
      <c r="B283" s="222" t="s">
        <v>3833</v>
      </c>
      <c r="C283" s="28" t="s">
        <v>4493</v>
      </c>
      <c r="D283" s="28" t="s">
        <v>3855</v>
      </c>
      <c r="E283" s="19" t="s">
        <v>4535</v>
      </c>
      <c r="F283" s="28" t="s">
        <v>94</v>
      </c>
      <c r="G283" s="222" t="s">
        <v>3835</v>
      </c>
      <c r="H283" s="28" t="s">
        <v>608</v>
      </c>
      <c r="I283" s="6" t="s">
        <v>608</v>
      </c>
      <c r="J283" s="28" t="s">
        <v>608</v>
      </c>
      <c r="K283" s="224" t="n">
        <v>0</v>
      </c>
      <c r="L283" s="224" t="n">
        <v>1</v>
      </c>
      <c r="M283" s="28" t="s">
        <v>4536</v>
      </c>
      <c r="N283" s="223" t="str">
        <f aca="false">Workload!$H$10</f>
        <v>Assumed：多數 API 不保留前輪思考（標準 harness）</v>
      </c>
      <c r="O283" s="6" t="s">
        <v>608</v>
      </c>
      <c r="P283" s="222" t="s">
        <v>3838</v>
      </c>
      <c r="Q283" s="185" t="n">
        <f aca="false">Workload!F10</f>
        <v>0</v>
      </c>
      <c r="R283" s="28" t="s">
        <v>608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3839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1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4540</v>
      </c>
      <c r="B284" s="222" t="s">
        <v>3833</v>
      </c>
      <c r="C284" s="28" t="s">
        <v>4493</v>
      </c>
      <c r="D284" s="28" t="s">
        <v>4053</v>
      </c>
      <c r="E284" s="19" t="s">
        <v>4535</v>
      </c>
      <c r="F284" s="28" t="s">
        <v>94</v>
      </c>
      <c r="G284" s="222" t="s">
        <v>3835</v>
      </c>
      <c r="H284" s="28" t="s">
        <v>608</v>
      </c>
      <c r="I284" s="6" t="s">
        <v>608</v>
      </c>
      <c r="J284" s="28" t="s">
        <v>608</v>
      </c>
      <c r="K284" s="224" t="n">
        <v>0</v>
      </c>
      <c r="L284" s="224" t="n">
        <v>1</v>
      </c>
      <c r="M284" s="28" t="s">
        <v>4536</v>
      </c>
      <c r="N284" s="223" t="str">
        <f aca="false">Workload!$H$10</f>
        <v>Assumed：多數 API 不保留前輪思考（標準 harness）</v>
      </c>
      <c r="O284" s="6" t="s">
        <v>608</v>
      </c>
      <c r="P284" s="222" t="s">
        <v>3838</v>
      </c>
      <c r="Q284" s="185" t="n">
        <f aca="false">Workload!G10</f>
        <v>0</v>
      </c>
      <c r="R284" s="28" t="s">
        <v>608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3839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1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4541</v>
      </c>
      <c r="B285" s="222" t="s">
        <v>3833</v>
      </c>
      <c r="C285" s="28" t="s">
        <v>4493</v>
      </c>
      <c r="D285" s="28" t="s">
        <v>4056</v>
      </c>
      <c r="E285" s="19" t="s">
        <v>4542</v>
      </c>
      <c r="F285" s="28" t="s">
        <v>94</v>
      </c>
      <c r="G285" s="222" t="s">
        <v>3835</v>
      </c>
      <c r="H285" s="28" t="s">
        <v>608</v>
      </c>
      <c r="I285" s="6" t="s">
        <v>608</v>
      </c>
      <c r="J285" s="28" t="s">
        <v>608</v>
      </c>
      <c r="K285" s="224" t="n">
        <v>0.3</v>
      </c>
      <c r="L285" s="224" t="n">
        <v>0.7</v>
      </c>
      <c r="M285" s="28" t="s">
        <v>4543</v>
      </c>
      <c r="N285" s="223" t="str">
        <f aca="false">Workload!$H$11</f>
        <v>Assumed；代理迴圈前綴重用高</v>
      </c>
      <c r="O285" s="6" t="s">
        <v>608</v>
      </c>
      <c r="P285" s="222" t="s">
        <v>1138</v>
      </c>
      <c r="Q285" s="185" t="n">
        <f aca="false">Workload!C11</f>
        <v>0.5</v>
      </c>
      <c r="R285" s="28" t="s">
        <v>608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3839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1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4544</v>
      </c>
      <c r="B286" s="222" t="s">
        <v>3833</v>
      </c>
      <c r="C286" s="28" t="s">
        <v>4493</v>
      </c>
      <c r="D286" s="28" t="s">
        <v>3860</v>
      </c>
      <c r="E286" s="19" t="s">
        <v>4542</v>
      </c>
      <c r="F286" s="28" t="s">
        <v>94</v>
      </c>
      <c r="G286" s="222" t="s">
        <v>3835</v>
      </c>
      <c r="H286" s="28" t="s">
        <v>608</v>
      </c>
      <c r="I286" s="6" t="s">
        <v>608</v>
      </c>
      <c r="J286" s="28" t="s">
        <v>608</v>
      </c>
      <c r="K286" s="224" t="n">
        <v>0.3</v>
      </c>
      <c r="L286" s="224" t="n">
        <v>0.7</v>
      </c>
      <c r="M286" s="28" t="s">
        <v>4543</v>
      </c>
      <c r="N286" s="223" t="str">
        <f aca="false">Workload!$H$11</f>
        <v>Assumed；代理迴圈前綴重用高</v>
      </c>
      <c r="O286" s="6" t="s">
        <v>608</v>
      </c>
      <c r="P286" s="222" t="s">
        <v>1138</v>
      </c>
      <c r="Q286" s="185" t="n">
        <f aca="false">Workload!D11</f>
        <v>0.5</v>
      </c>
      <c r="R286" s="28" t="s">
        <v>608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3839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1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4545</v>
      </c>
      <c r="B287" s="222" t="s">
        <v>3833</v>
      </c>
      <c r="C287" s="28" t="s">
        <v>4493</v>
      </c>
      <c r="D287" s="28" t="s">
        <v>3701</v>
      </c>
      <c r="E287" s="19" t="s">
        <v>4542</v>
      </c>
      <c r="F287" s="28" t="s">
        <v>94</v>
      </c>
      <c r="G287" s="222" t="s">
        <v>3835</v>
      </c>
      <c r="H287" s="28" t="s">
        <v>608</v>
      </c>
      <c r="I287" s="6" t="s">
        <v>608</v>
      </c>
      <c r="J287" s="28" t="s">
        <v>608</v>
      </c>
      <c r="K287" s="224" t="n">
        <v>0.7</v>
      </c>
      <c r="L287" s="224" t="n">
        <v>0.95</v>
      </c>
      <c r="M287" s="28" t="s">
        <v>4546</v>
      </c>
      <c r="N287" s="223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608</v>
      </c>
      <c r="P287" s="222" t="s">
        <v>1138</v>
      </c>
      <c r="Q287" s="185" t="n">
        <f aca="false">Workload!E11</f>
        <v>0.9</v>
      </c>
      <c r="R287" s="28" t="s">
        <v>608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3839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1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4547</v>
      </c>
      <c r="B288" s="222" t="s">
        <v>3833</v>
      </c>
      <c r="C288" s="28" t="s">
        <v>4493</v>
      </c>
      <c r="D288" s="28" t="s">
        <v>3862</v>
      </c>
      <c r="E288" s="19" t="s">
        <v>4542</v>
      </c>
      <c r="F288" s="28" t="s">
        <v>94</v>
      </c>
      <c r="G288" s="222" t="s">
        <v>3835</v>
      </c>
      <c r="H288" s="28" t="s">
        <v>608</v>
      </c>
      <c r="I288" s="6" t="s">
        <v>608</v>
      </c>
      <c r="J288" s="28" t="s">
        <v>608</v>
      </c>
      <c r="K288" s="224" t="n">
        <v>0.7</v>
      </c>
      <c r="L288" s="224" t="n">
        <v>0.95</v>
      </c>
      <c r="M288" s="28" t="s">
        <v>4546</v>
      </c>
      <c r="N288" s="223" t="str">
        <f aca="false">Workload!$H$11</f>
        <v>Assumed；代理迴圈前綴重用高</v>
      </c>
      <c r="O288" s="6" t="s">
        <v>608</v>
      </c>
      <c r="P288" s="222" t="s">
        <v>1138</v>
      </c>
      <c r="Q288" s="185" t="n">
        <f aca="false">Workload!F11</f>
        <v>0.9</v>
      </c>
      <c r="R288" s="28" t="s">
        <v>608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3839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1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4548</v>
      </c>
      <c r="B289" s="222" t="s">
        <v>3833</v>
      </c>
      <c r="C289" s="28" t="s">
        <v>4493</v>
      </c>
      <c r="D289" s="28" t="s">
        <v>4073</v>
      </c>
      <c r="E289" s="19" t="s">
        <v>4542</v>
      </c>
      <c r="F289" s="28" t="s">
        <v>94</v>
      </c>
      <c r="G289" s="222" t="s">
        <v>3835</v>
      </c>
      <c r="H289" s="28" t="s">
        <v>608</v>
      </c>
      <c r="I289" s="6" t="s">
        <v>608</v>
      </c>
      <c r="J289" s="28" t="s">
        <v>608</v>
      </c>
      <c r="K289" s="224" t="n">
        <v>0.7</v>
      </c>
      <c r="L289" s="224" t="n">
        <v>0.95</v>
      </c>
      <c r="M289" s="28" t="s">
        <v>4546</v>
      </c>
      <c r="N289" s="223" t="str">
        <f aca="false">Workload!$H$11</f>
        <v>Assumed；代理迴圈前綴重用高</v>
      </c>
      <c r="O289" s="6" t="s">
        <v>608</v>
      </c>
      <c r="P289" s="222" t="s">
        <v>1138</v>
      </c>
      <c r="Q289" s="185" t="n">
        <f aca="false">Workload!G11</f>
        <v>0.9</v>
      </c>
      <c r="R289" s="28" t="s">
        <v>608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3839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1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4549</v>
      </c>
      <c r="B290" s="222" t="s">
        <v>3833</v>
      </c>
      <c r="C290" s="28" t="s">
        <v>4493</v>
      </c>
      <c r="D290" s="28" t="s">
        <v>4077</v>
      </c>
      <c r="E290" s="19" t="s">
        <v>4550</v>
      </c>
      <c r="F290" s="28" t="s">
        <v>94</v>
      </c>
      <c r="G290" s="222" t="s">
        <v>3835</v>
      </c>
      <c r="H290" s="28" t="s">
        <v>608</v>
      </c>
      <c r="I290" s="6" t="s">
        <v>608</v>
      </c>
      <c r="J290" s="28" t="s">
        <v>608</v>
      </c>
      <c r="K290" s="224" t="n">
        <v>0</v>
      </c>
      <c r="L290" s="175" t="n">
        <f aca="false">MAX(1,Workload!C12*2)</f>
        <v>1</v>
      </c>
      <c r="M290" s="28" t="s">
        <v>4551</v>
      </c>
      <c r="N290" s="223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608</v>
      </c>
      <c r="P290" s="222" t="s">
        <v>3838</v>
      </c>
      <c r="Q290" s="31" t="n">
        <f aca="false">Workload!C12</f>
        <v>0</v>
      </c>
      <c r="R290" s="28" t="s">
        <v>608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3839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1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4552</v>
      </c>
      <c r="B291" s="222" t="s">
        <v>3833</v>
      </c>
      <c r="C291" s="28" t="s">
        <v>4493</v>
      </c>
      <c r="D291" s="28" t="s">
        <v>4081</v>
      </c>
      <c r="E291" s="19" t="s">
        <v>4550</v>
      </c>
      <c r="F291" s="28" t="s">
        <v>94</v>
      </c>
      <c r="G291" s="222" t="s">
        <v>3835</v>
      </c>
      <c r="H291" s="28" t="s">
        <v>608</v>
      </c>
      <c r="I291" s="6" t="s">
        <v>608</v>
      </c>
      <c r="J291" s="28" t="s">
        <v>608</v>
      </c>
      <c r="K291" s="224" t="n">
        <v>0</v>
      </c>
      <c r="L291" s="175" t="n">
        <f aca="false">MAX(1,Workload!D12*2)</f>
        <v>1</v>
      </c>
      <c r="M291" s="28" t="s">
        <v>4551</v>
      </c>
      <c r="N291" s="223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608</v>
      </c>
      <c r="P291" s="222" t="s">
        <v>3838</v>
      </c>
      <c r="Q291" s="31" t="n">
        <f aca="false">Workload!D12</f>
        <v>0</v>
      </c>
      <c r="R291" s="28" t="s">
        <v>608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3839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1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4553</v>
      </c>
      <c r="B292" s="222" t="s">
        <v>3833</v>
      </c>
      <c r="C292" s="28" t="s">
        <v>4493</v>
      </c>
      <c r="D292" s="28" t="s">
        <v>3704</v>
      </c>
      <c r="E292" s="19" t="s">
        <v>4550</v>
      </c>
      <c r="F292" s="28" t="s">
        <v>94</v>
      </c>
      <c r="G292" s="222" t="s">
        <v>3835</v>
      </c>
      <c r="H292" s="28" t="s">
        <v>608</v>
      </c>
      <c r="I292" s="6" t="s">
        <v>608</v>
      </c>
      <c r="J292" s="28" t="s">
        <v>608</v>
      </c>
      <c r="K292" s="224" t="n">
        <v>0</v>
      </c>
      <c r="L292" s="175" t="n">
        <f aca="false">MAX(1,Workload!E12*2)</f>
        <v>1</v>
      </c>
      <c r="M292" s="28" t="s">
        <v>4551</v>
      </c>
      <c r="N292" s="223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608</v>
      </c>
      <c r="P292" s="222" t="s">
        <v>3838</v>
      </c>
      <c r="Q292" s="31" t="n">
        <f aca="false">Workload!E12</f>
        <v>0</v>
      </c>
      <c r="R292" s="28" t="s">
        <v>608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3839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1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4554</v>
      </c>
      <c r="B293" s="222" t="s">
        <v>3833</v>
      </c>
      <c r="C293" s="28" t="s">
        <v>4493</v>
      </c>
      <c r="D293" s="28" t="s">
        <v>4089</v>
      </c>
      <c r="E293" s="19" t="s">
        <v>4550</v>
      </c>
      <c r="F293" s="28" t="s">
        <v>94</v>
      </c>
      <c r="G293" s="222" t="s">
        <v>3835</v>
      </c>
      <c r="H293" s="28" t="s">
        <v>608</v>
      </c>
      <c r="I293" s="6" t="s">
        <v>608</v>
      </c>
      <c r="J293" s="28" t="s">
        <v>608</v>
      </c>
      <c r="K293" s="224" t="n">
        <v>0</v>
      </c>
      <c r="L293" s="175" t="n">
        <f aca="false">MAX(1,Workload!F12*2)</f>
        <v>6</v>
      </c>
      <c r="M293" s="28" t="s">
        <v>4551</v>
      </c>
      <c r="N293" s="223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608</v>
      </c>
      <c r="P293" s="222" t="s">
        <v>3838</v>
      </c>
      <c r="Q293" s="31" t="n">
        <f aca="false">Workload!F12</f>
        <v>3</v>
      </c>
      <c r="R293" s="28" t="s">
        <v>608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3839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1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4555</v>
      </c>
      <c r="B294" s="222" t="s">
        <v>3833</v>
      </c>
      <c r="C294" s="28" t="s">
        <v>4493</v>
      </c>
      <c r="D294" s="28" t="s">
        <v>4094</v>
      </c>
      <c r="E294" s="19" t="s">
        <v>4550</v>
      </c>
      <c r="F294" s="28" t="s">
        <v>94</v>
      </c>
      <c r="G294" s="222" t="s">
        <v>3835</v>
      </c>
      <c r="H294" s="28" t="s">
        <v>608</v>
      </c>
      <c r="I294" s="6" t="s">
        <v>608</v>
      </c>
      <c r="J294" s="28" t="s">
        <v>608</v>
      </c>
      <c r="K294" s="224" t="n">
        <v>0</v>
      </c>
      <c r="L294" s="175" t="n">
        <f aca="false">MAX(1,Workload!G12*2)</f>
        <v>1</v>
      </c>
      <c r="M294" s="28" t="s">
        <v>4551</v>
      </c>
      <c r="N294" s="223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608</v>
      </c>
      <c r="P294" s="222" t="s">
        <v>1138</v>
      </c>
      <c r="Q294" s="31" t="n">
        <f aca="false">Workload!G12</f>
        <v>0</v>
      </c>
      <c r="R294" s="28" t="s">
        <v>608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3839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1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4556</v>
      </c>
      <c r="B295" s="222" t="s">
        <v>3833</v>
      </c>
      <c r="C295" s="28" t="s">
        <v>4493</v>
      </c>
      <c r="D295" s="28" t="s">
        <v>4097</v>
      </c>
      <c r="E295" s="6" t="s">
        <v>392</v>
      </c>
      <c r="F295" s="28" t="s">
        <v>86</v>
      </c>
      <c r="G295" s="222" t="s">
        <v>3835</v>
      </c>
      <c r="H295" s="28" t="s">
        <v>608</v>
      </c>
      <c r="I295" s="6" t="s">
        <v>608</v>
      </c>
      <c r="J295" s="28" t="s">
        <v>4557</v>
      </c>
      <c r="K295" s="222"/>
      <c r="L295" s="222"/>
      <c r="M295" s="28" t="s">
        <v>608</v>
      </c>
      <c r="N295" s="6" t="s">
        <v>4558</v>
      </c>
      <c r="O295" s="6" t="s">
        <v>608</v>
      </c>
      <c r="P295" s="222" t="s">
        <v>1138</v>
      </c>
      <c r="Q295" s="183" t="n">
        <f aca="false">Workload!C13</f>
        <v>1</v>
      </c>
      <c r="R295" s="28" t="s">
        <v>608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3839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1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4559</v>
      </c>
      <c r="B296" s="222" t="s">
        <v>3833</v>
      </c>
      <c r="C296" s="28" t="s">
        <v>4493</v>
      </c>
      <c r="D296" s="28" t="s">
        <v>4346</v>
      </c>
      <c r="E296" s="19" t="s">
        <v>4560</v>
      </c>
      <c r="F296" s="28" t="s">
        <v>86</v>
      </c>
      <c r="G296" s="222" t="s">
        <v>3835</v>
      </c>
      <c r="H296" s="28" t="s">
        <v>608</v>
      </c>
      <c r="I296" s="6" t="s">
        <v>608</v>
      </c>
      <c r="J296" s="28" t="s">
        <v>4561</v>
      </c>
      <c r="K296" s="222"/>
      <c r="L296" s="222"/>
      <c r="M296" s="28" t="s">
        <v>608</v>
      </c>
      <c r="N296" s="19" t="s">
        <v>4562</v>
      </c>
      <c r="O296" s="6" t="s">
        <v>608</v>
      </c>
      <c r="P296" s="222" t="s">
        <v>3894</v>
      </c>
      <c r="Q296" s="183" t="n">
        <f aca="false">Workload!C14</f>
        <v>1</v>
      </c>
      <c r="R296" s="28" t="s">
        <v>608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3839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1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4563</v>
      </c>
      <c r="B297" s="222" t="s">
        <v>3833</v>
      </c>
      <c r="C297" s="28" t="s">
        <v>4493</v>
      </c>
      <c r="D297" s="28" t="s">
        <v>3866</v>
      </c>
      <c r="E297" s="6" t="s">
        <v>392</v>
      </c>
      <c r="F297" s="28" t="s">
        <v>86</v>
      </c>
      <c r="G297" s="222" t="s">
        <v>3835</v>
      </c>
      <c r="H297" s="28" t="s">
        <v>608</v>
      </c>
      <c r="I297" s="6" t="s">
        <v>608</v>
      </c>
      <c r="J297" s="28" t="s">
        <v>4557</v>
      </c>
      <c r="K297" s="222"/>
      <c r="L297" s="222"/>
      <c r="M297" s="28" t="s">
        <v>608</v>
      </c>
      <c r="N297" s="6" t="s">
        <v>4558</v>
      </c>
      <c r="O297" s="6" t="s">
        <v>608</v>
      </c>
      <c r="P297" s="222" t="s">
        <v>1138</v>
      </c>
      <c r="Q297" s="183" t="n">
        <f aca="false">Workload!D13</f>
        <v>1</v>
      </c>
      <c r="R297" s="28" t="s">
        <v>608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3839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1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4564</v>
      </c>
      <c r="B298" s="222" t="s">
        <v>3833</v>
      </c>
      <c r="C298" s="28" t="s">
        <v>4493</v>
      </c>
      <c r="D298" s="28" t="s">
        <v>3876</v>
      </c>
      <c r="E298" s="19" t="s">
        <v>4560</v>
      </c>
      <c r="F298" s="28" t="s">
        <v>86</v>
      </c>
      <c r="G298" s="222" t="s">
        <v>3835</v>
      </c>
      <c r="H298" s="28" t="s">
        <v>608</v>
      </c>
      <c r="I298" s="6" t="s">
        <v>608</v>
      </c>
      <c r="J298" s="28" t="s">
        <v>4561</v>
      </c>
      <c r="K298" s="222"/>
      <c r="L298" s="222"/>
      <c r="M298" s="28" t="s">
        <v>608</v>
      </c>
      <c r="N298" s="19" t="s">
        <v>4562</v>
      </c>
      <c r="O298" s="6" t="s">
        <v>608</v>
      </c>
      <c r="P298" s="222" t="s">
        <v>3894</v>
      </c>
      <c r="Q298" s="183" t="n">
        <f aca="false">Workload!D14</f>
        <v>1</v>
      </c>
      <c r="R298" s="28" t="s">
        <v>608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3839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1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4565</v>
      </c>
      <c r="B299" s="222" t="s">
        <v>3833</v>
      </c>
      <c r="C299" s="28" t="s">
        <v>4493</v>
      </c>
      <c r="D299" s="28" t="s">
        <v>3706</v>
      </c>
      <c r="E299" s="6" t="s">
        <v>392</v>
      </c>
      <c r="F299" s="28" t="s">
        <v>86</v>
      </c>
      <c r="G299" s="222" t="s">
        <v>3835</v>
      </c>
      <c r="H299" s="28" t="s">
        <v>608</v>
      </c>
      <c r="I299" s="6" t="s">
        <v>608</v>
      </c>
      <c r="J299" s="28" t="s">
        <v>4557</v>
      </c>
      <c r="K299" s="222"/>
      <c r="L299" s="222"/>
      <c r="M299" s="28" t="s">
        <v>608</v>
      </c>
      <c r="N299" s="6" t="s">
        <v>4558</v>
      </c>
      <c r="O299" s="6" t="s">
        <v>608</v>
      </c>
      <c r="P299" s="222" t="s">
        <v>1138</v>
      </c>
      <c r="Q299" s="183" t="n">
        <f aca="false">Workload!E13</f>
        <v>1</v>
      </c>
      <c r="R299" s="28" t="s">
        <v>608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3839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1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4566</v>
      </c>
      <c r="B300" s="222" t="s">
        <v>3833</v>
      </c>
      <c r="C300" s="28" t="s">
        <v>4493</v>
      </c>
      <c r="D300" s="28" t="s">
        <v>3874</v>
      </c>
      <c r="E300" s="19" t="s">
        <v>4560</v>
      </c>
      <c r="F300" s="28" t="s">
        <v>86</v>
      </c>
      <c r="G300" s="222" t="s">
        <v>3835</v>
      </c>
      <c r="H300" s="28" t="s">
        <v>608</v>
      </c>
      <c r="I300" s="6" t="s">
        <v>608</v>
      </c>
      <c r="J300" s="28" t="s">
        <v>4561</v>
      </c>
      <c r="K300" s="222"/>
      <c r="L300" s="222"/>
      <c r="M300" s="28" t="s">
        <v>608</v>
      </c>
      <c r="N300" s="19" t="s">
        <v>4562</v>
      </c>
      <c r="O300" s="6" t="s">
        <v>608</v>
      </c>
      <c r="P300" s="222" t="s">
        <v>3894</v>
      </c>
      <c r="Q300" s="183" t="n">
        <f aca="false">Workload!E14</f>
        <v>1</v>
      </c>
      <c r="R300" s="28" t="s">
        <v>608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3839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1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4567</v>
      </c>
      <c r="B301" s="222" t="s">
        <v>3833</v>
      </c>
      <c r="C301" s="28" t="s">
        <v>4493</v>
      </c>
      <c r="D301" s="28" t="s">
        <v>3868</v>
      </c>
      <c r="E301" s="6" t="s">
        <v>392</v>
      </c>
      <c r="F301" s="28" t="s">
        <v>86</v>
      </c>
      <c r="G301" s="222" t="s">
        <v>3835</v>
      </c>
      <c r="H301" s="28" t="s">
        <v>608</v>
      </c>
      <c r="I301" s="6" t="s">
        <v>608</v>
      </c>
      <c r="J301" s="28" t="s">
        <v>4557</v>
      </c>
      <c r="K301" s="222"/>
      <c r="L301" s="222"/>
      <c r="M301" s="28" t="s">
        <v>608</v>
      </c>
      <c r="N301" s="6" t="s">
        <v>4558</v>
      </c>
      <c r="O301" s="6" t="s">
        <v>608</v>
      </c>
      <c r="P301" s="222" t="s">
        <v>1138</v>
      </c>
      <c r="Q301" s="183" t="n">
        <f aca="false">Workload!F13</f>
        <v>1</v>
      </c>
      <c r="R301" s="28" t="s">
        <v>608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3839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1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4568</v>
      </c>
      <c r="B302" s="222" t="s">
        <v>3833</v>
      </c>
      <c r="C302" s="28" t="s">
        <v>4493</v>
      </c>
      <c r="D302" s="28" t="s">
        <v>3878</v>
      </c>
      <c r="E302" s="19" t="s">
        <v>4560</v>
      </c>
      <c r="F302" s="28" t="s">
        <v>86</v>
      </c>
      <c r="G302" s="222" t="s">
        <v>3835</v>
      </c>
      <c r="H302" s="28" t="s">
        <v>608</v>
      </c>
      <c r="I302" s="6" t="s">
        <v>608</v>
      </c>
      <c r="J302" s="28" t="s">
        <v>4561</v>
      </c>
      <c r="K302" s="222"/>
      <c r="L302" s="222"/>
      <c r="M302" s="28" t="s">
        <v>608</v>
      </c>
      <c r="N302" s="19" t="s">
        <v>4562</v>
      </c>
      <c r="O302" s="6" t="s">
        <v>608</v>
      </c>
      <c r="P302" s="222" t="s">
        <v>3894</v>
      </c>
      <c r="Q302" s="183" t="n">
        <f aca="false">Workload!F14</f>
        <v>1</v>
      </c>
      <c r="R302" s="28" t="s">
        <v>608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3839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1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4569</v>
      </c>
      <c r="B303" s="222" t="s">
        <v>3833</v>
      </c>
      <c r="C303" s="28" t="s">
        <v>4493</v>
      </c>
      <c r="D303" s="28" t="s">
        <v>4109</v>
      </c>
      <c r="E303" s="6" t="s">
        <v>392</v>
      </c>
      <c r="F303" s="28" t="s">
        <v>86</v>
      </c>
      <c r="G303" s="222" t="s">
        <v>3835</v>
      </c>
      <c r="H303" s="28" t="s">
        <v>608</v>
      </c>
      <c r="I303" s="6" t="s">
        <v>608</v>
      </c>
      <c r="J303" s="28" t="s">
        <v>4557</v>
      </c>
      <c r="K303" s="222"/>
      <c r="L303" s="222"/>
      <c r="M303" s="28" t="s">
        <v>608</v>
      </c>
      <c r="N303" s="6" t="s">
        <v>4558</v>
      </c>
      <c r="O303" s="6" t="s">
        <v>608</v>
      </c>
      <c r="P303" s="222" t="s">
        <v>1138</v>
      </c>
      <c r="Q303" s="183" t="n">
        <f aca="false">Workload!G13</f>
        <v>1</v>
      </c>
      <c r="R303" s="28" t="s">
        <v>608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3839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1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4570</v>
      </c>
      <c r="B304" s="222" t="s">
        <v>3833</v>
      </c>
      <c r="C304" s="28" t="s">
        <v>4493</v>
      </c>
      <c r="D304" s="28" t="s">
        <v>4571</v>
      </c>
      <c r="E304" s="19" t="s">
        <v>4560</v>
      </c>
      <c r="F304" s="28" t="s">
        <v>86</v>
      </c>
      <c r="G304" s="222" t="s">
        <v>3835</v>
      </c>
      <c r="H304" s="28" t="s">
        <v>608</v>
      </c>
      <c r="I304" s="6" t="s">
        <v>608</v>
      </c>
      <c r="J304" s="28" t="s">
        <v>4561</v>
      </c>
      <c r="K304" s="222"/>
      <c r="L304" s="222"/>
      <c r="M304" s="28" t="s">
        <v>608</v>
      </c>
      <c r="N304" s="19" t="s">
        <v>4562</v>
      </c>
      <c r="O304" s="6" t="s">
        <v>608</v>
      </c>
      <c r="P304" s="222" t="s">
        <v>3894</v>
      </c>
      <c r="Q304" s="183" t="n">
        <f aca="false">Workload!G14</f>
        <v>1</v>
      </c>
      <c r="R304" s="28" t="s">
        <v>608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3839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1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4572</v>
      </c>
      <c r="B305" s="222" t="s">
        <v>4573</v>
      </c>
      <c r="C305" s="28" t="s">
        <v>4493</v>
      </c>
      <c r="D305" s="28" t="s">
        <v>4291</v>
      </c>
      <c r="E305" s="19" t="s">
        <v>4574</v>
      </c>
      <c r="F305" s="196" t="s">
        <v>94</v>
      </c>
      <c r="G305" s="222" t="s">
        <v>3835</v>
      </c>
      <c r="H305" s="28" t="s">
        <v>608</v>
      </c>
      <c r="I305" s="226" t="s">
        <v>608</v>
      </c>
      <c r="J305" s="28" t="s">
        <v>608</v>
      </c>
      <c r="K305" s="222"/>
      <c r="L305" s="222"/>
      <c r="M305" s="222" t="s">
        <v>3731</v>
      </c>
      <c r="N305" s="19" t="s">
        <v>4575</v>
      </c>
      <c r="O305" s="6" t="s">
        <v>608</v>
      </c>
      <c r="P305" s="222" t="s">
        <v>3838</v>
      </c>
      <c r="Q305" s="31" t="n">
        <f aca="false">Workload!C40</f>
        <v>1</v>
      </c>
      <c r="R305" s="28" t="s">
        <v>608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3839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1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4576</v>
      </c>
      <c r="B306" s="222" t="s">
        <v>4573</v>
      </c>
      <c r="C306" s="28" t="s">
        <v>4493</v>
      </c>
      <c r="D306" s="28" t="s">
        <v>4296</v>
      </c>
      <c r="E306" s="19" t="s">
        <v>4574</v>
      </c>
      <c r="F306" s="222" t="s">
        <v>319</v>
      </c>
      <c r="G306" s="222" t="s">
        <v>3835</v>
      </c>
      <c r="H306" s="28" t="s">
        <v>4577</v>
      </c>
      <c r="I306" s="19" t="s">
        <v>3870</v>
      </c>
      <c r="J306" s="28" t="s">
        <v>608</v>
      </c>
      <c r="K306" s="222"/>
      <c r="L306" s="222"/>
      <c r="M306" s="28" t="s">
        <v>608</v>
      </c>
      <c r="N306" s="19" t="s">
        <v>4578</v>
      </c>
      <c r="O306" s="6" t="s">
        <v>608</v>
      </c>
      <c r="P306" s="222" t="s">
        <v>3838</v>
      </c>
      <c r="Q306" s="31" t="n">
        <f aca="false">Workload!E40</f>
        <v>4</v>
      </c>
      <c r="R306" s="175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3872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1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4579</v>
      </c>
      <c r="B307" s="222" t="s">
        <v>4573</v>
      </c>
      <c r="C307" s="28" t="s">
        <v>4493</v>
      </c>
      <c r="D307" s="28" t="s">
        <v>4298</v>
      </c>
      <c r="E307" s="19" t="s">
        <v>4574</v>
      </c>
      <c r="F307" s="222" t="s">
        <v>319</v>
      </c>
      <c r="G307" s="222" t="s">
        <v>3835</v>
      </c>
      <c r="H307" s="28" t="s">
        <v>4580</v>
      </c>
      <c r="I307" s="19" t="s">
        <v>3870</v>
      </c>
      <c r="J307" s="28" t="s">
        <v>608</v>
      </c>
      <c r="K307" s="222"/>
      <c r="L307" s="222"/>
      <c r="M307" s="28" t="s">
        <v>608</v>
      </c>
      <c r="N307" s="19" t="s">
        <v>4578</v>
      </c>
      <c r="O307" s="6" t="s">
        <v>608</v>
      </c>
      <c r="P307" s="222" t="s">
        <v>3838</v>
      </c>
      <c r="Q307" s="31" t="n">
        <f aca="false">Workload!F40</f>
        <v>15</v>
      </c>
      <c r="R307" s="175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3872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1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4581</v>
      </c>
      <c r="B308" s="222" t="s">
        <v>3833</v>
      </c>
      <c r="C308" s="28" t="s">
        <v>4582</v>
      </c>
      <c r="D308" s="28" t="s">
        <v>4494</v>
      </c>
      <c r="E308" s="6" t="s">
        <v>432</v>
      </c>
      <c r="F308" s="28" t="s">
        <v>98</v>
      </c>
      <c r="G308" s="222" t="s">
        <v>3835</v>
      </c>
      <c r="H308" s="28" t="s">
        <v>4583</v>
      </c>
      <c r="I308" s="19" t="s">
        <v>4584</v>
      </c>
      <c r="J308" s="28" t="s">
        <v>608</v>
      </c>
      <c r="K308" s="224" t="n">
        <v>0.15</v>
      </c>
      <c r="L308" s="224" t="n">
        <v>0.45</v>
      </c>
      <c r="M308" s="28" t="s">
        <v>4585</v>
      </c>
      <c r="N308" s="223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608</v>
      </c>
      <c r="P308" s="222" t="s">
        <v>1138</v>
      </c>
      <c r="Q308" s="185" t="n">
        <f aca="false">Calib!C5</f>
        <v>0.3</v>
      </c>
      <c r="R308" s="175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3839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1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4586</v>
      </c>
      <c r="B309" s="222" t="s">
        <v>3833</v>
      </c>
      <c r="C309" s="28" t="s">
        <v>4582</v>
      </c>
      <c r="D309" s="28" t="s">
        <v>4587</v>
      </c>
      <c r="E309" s="19" t="s">
        <v>440</v>
      </c>
      <c r="F309" s="222" t="s">
        <v>4588</v>
      </c>
      <c r="G309" s="222" t="s">
        <v>4589</v>
      </c>
      <c r="H309" s="28" t="s">
        <v>608</v>
      </c>
      <c r="I309" s="6" t="s">
        <v>608</v>
      </c>
      <c r="J309" s="28" t="s">
        <v>608</v>
      </c>
      <c r="K309" s="222"/>
      <c r="L309" s="222"/>
      <c r="M309" s="28" t="s">
        <v>608</v>
      </c>
      <c r="N309" s="19" t="s">
        <v>4590</v>
      </c>
      <c r="O309" s="6" t="s">
        <v>608</v>
      </c>
      <c r="P309" s="28" t="s">
        <v>608</v>
      </c>
      <c r="Q309" s="175" t="s">
        <v>608</v>
      </c>
      <c r="R309" s="28" t="s">
        <v>608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28" t="s">
        <v>608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1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4591</v>
      </c>
      <c r="B310" s="222" t="s">
        <v>3833</v>
      </c>
      <c r="C310" s="28" t="s">
        <v>4582</v>
      </c>
      <c r="D310" s="28" t="s">
        <v>4097</v>
      </c>
      <c r="E310" s="6" t="s">
        <v>446</v>
      </c>
      <c r="F310" s="222" t="s">
        <v>319</v>
      </c>
      <c r="G310" s="222" t="s">
        <v>3835</v>
      </c>
      <c r="H310" s="28" t="s">
        <v>4592</v>
      </c>
      <c r="I310" s="19" t="s">
        <v>3870</v>
      </c>
      <c r="J310" s="28" t="s">
        <v>608</v>
      </c>
      <c r="K310" s="222"/>
      <c r="L310" s="222"/>
      <c r="M310" s="28" t="s">
        <v>608</v>
      </c>
      <c r="N310" s="19" t="s">
        <v>3973</v>
      </c>
      <c r="O310" s="6" t="s">
        <v>608</v>
      </c>
      <c r="P310" s="222" t="s">
        <v>3838</v>
      </c>
      <c r="Q310" s="31" t="n">
        <f aca="false">Calib!C13</f>
        <v>1</v>
      </c>
      <c r="R310" s="175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3872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1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4593</v>
      </c>
      <c r="B311" s="222" t="s">
        <v>3833</v>
      </c>
      <c r="C311" s="28" t="s">
        <v>4582</v>
      </c>
      <c r="D311" s="28" t="s">
        <v>4346</v>
      </c>
      <c r="E311" s="19" t="s">
        <v>447</v>
      </c>
      <c r="F311" s="222" t="s">
        <v>319</v>
      </c>
      <c r="G311" s="222" t="s">
        <v>3835</v>
      </c>
      <c r="H311" s="28" t="s">
        <v>4592</v>
      </c>
      <c r="I311" s="19" t="s">
        <v>3870</v>
      </c>
      <c r="J311" s="28" t="s">
        <v>608</v>
      </c>
      <c r="K311" s="222"/>
      <c r="L311" s="222"/>
      <c r="M311" s="28" t="s">
        <v>608</v>
      </c>
      <c r="N311" s="19" t="s">
        <v>3973</v>
      </c>
      <c r="O311" s="6" t="s">
        <v>608</v>
      </c>
      <c r="P311" s="222" t="s">
        <v>1138</v>
      </c>
      <c r="Q311" s="46" t="n">
        <f aca="false">Calib!C14</f>
        <v>72</v>
      </c>
      <c r="R311" s="175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3872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1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4594</v>
      </c>
      <c r="B312" s="222" t="s">
        <v>3833</v>
      </c>
      <c r="C312" s="28" t="s">
        <v>4582</v>
      </c>
      <c r="D312" s="28" t="s">
        <v>4350</v>
      </c>
      <c r="E312" s="6" t="s">
        <v>448</v>
      </c>
      <c r="F312" s="222" t="s">
        <v>319</v>
      </c>
      <c r="G312" s="222" t="s">
        <v>3835</v>
      </c>
      <c r="H312" s="28" t="s">
        <v>4592</v>
      </c>
      <c r="I312" s="19" t="s">
        <v>3870</v>
      </c>
      <c r="J312" s="28" t="s">
        <v>608</v>
      </c>
      <c r="K312" s="222"/>
      <c r="L312" s="222"/>
      <c r="M312" s="28" t="s">
        <v>608</v>
      </c>
      <c r="N312" s="19" t="s">
        <v>3973</v>
      </c>
      <c r="O312" s="6" t="s">
        <v>608</v>
      </c>
      <c r="P312" s="222" t="s">
        <v>1138</v>
      </c>
      <c r="Q312" s="46" t="n">
        <f aca="false">Calib!C15</f>
        <v>8192</v>
      </c>
      <c r="R312" s="175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3872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1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4595</v>
      </c>
      <c r="B313" s="222" t="s">
        <v>3833</v>
      </c>
      <c r="C313" s="28" t="s">
        <v>4582</v>
      </c>
      <c r="D313" s="28" t="s">
        <v>4355</v>
      </c>
      <c r="E313" s="6" t="s">
        <v>449</v>
      </c>
      <c r="F313" s="222" t="s">
        <v>319</v>
      </c>
      <c r="G313" s="222" t="s">
        <v>3835</v>
      </c>
      <c r="H313" s="28" t="s">
        <v>4592</v>
      </c>
      <c r="I313" s="19" t="s">
        <v>3870</v>
      </c>
      <c r="J313" s="28" t="s">
        <v>608</v>
      </c>
      <c r="K313" s="222"/>
      <c r="L313" s="222"/>
      <c r="M313" s="28" t="s">
        <v>608</v>
      </c>
      <c r="N313" s="19" t="s">
        <v>3973</v>
      </c>
      <c r="O313" s="6" t="s">
        <v>608</v>
      </c>
      <c r="P313" s="222" t="s">
        <v>1138</v>
      </c>
      <c r="Q313" s="46" t="n">
        <f aca="false">Calib!C16</f>
        <v>1024</v>
      </c>
      <c r="R313" s="175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3872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1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4596</v>
      </c>
      <c r="B314" s="222" t="s">
        <v>3833</v>
      </c>
      <c r="C314" s="28" t="s">
        <v>4582</v>
      </c>
      <c r="D314" s="28" t="s">
        <v>4377</v>
      </c>
      <c r="E314" s="19" t="s">
        <v>4597</v>
      </c>
      <c r="F314" s="222" t="s">
        <v>319</v>
      </c>
      <c r="G314" s="222" t="s">
        <v>3835</v>
      </c>
      <c r="H314" s="28" t="s">
        <v>4592</v>
      </c>
      <c r="I314" s="19" t="s">
        <v>4598</v>
      </c>
      <c r="J314" s="28" t="s">
        <v>608</v>
      </c>
      <c r="K314" s="222"/>
      <c r="L314" s="222"/>
      <c r="M314" s="28" t="s">
        <v>608</v>
      </c>
      <c r="N314" s="19" t="s">
        <v>3973</v>
      </c>
      <c r="O314" s="6" t="s">
        <v>4599</v>
      </c>
      <c r="P314" s="222" t="s">
        <v>1138</v>
      </c>
      <c r="Q314" s="46" t="n">
        <f aca="false">Calib!C17</f>
        <v>9342.1</v>
      </c>
      <c r="R314" s="175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3872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1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4600</v>
      </c>
      <c r="B315" s="222" t="s">
        <v>3833</v>
      </c>
      <c r="C315" s="28" t="s">
        <v>4582</v>
      </c>
      <c r="D315" s="28" t="s">
        <v>3866</v>
      </c>
      <c r="E315" s="6" t="s">
        <v>446</v>
      </c>
      <c r="F315" s="222" t="s">
        <v>319</v>
      </c>
      <c r="G315" s="222" t="s">
        <v>3835</v>
      </c>
      <c r="H315" s="28" t="s">
        <v>4601</v>
      </c>
      <c r="I315" s="19" t="s">
        <v>3870</v>
      </c>
      <c r="J315" s="28" t="s">
        <v>608</v>
      </c>
      <c r="K315" s="222"/>
      <c r="L315" s="222"/>
      <c r="M315" s="28" t="s">
        <v>608</v>
      </c>
      <c r="N315" s="19" t="s">
        <v>3973</v>
      </c>
      <c r="O315" s="6" t="s">
        <v>608</v>
      </c>
      <c r="P315" s="222" t="s">
        <v>3838</v>
      </c>
      <c r="Q315" s="31" t="n">
        <f aca="false">Calib!D13</f>
        <v>1</v>
      </c>
      <c r="R315" s="175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3872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1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4602</v>
      </c>
      <c r="B316" s="222" t="s">
        <v>3833</v>
      </c>
      <c r="C316" s="28" t="s">
        <v>4582</v>
      </c>
      <c r="D316" s="28" t="s">
        <v>3876</v>
      </c>
      <c r="E316" s="19" t="s">
        <v>447</v>
      </c>
      <c r="F316" s="222" t="s">
        <v>319</v>
      </c>
      <c r="G316" s="222" t="s">
        <v>3835</v>
      </c>
      <c r="H316" s="28" t="s">
        <v>4601</v>
      </c>
      <c r="I316" s="19" t="s">
        <v>3870</v>
      </c>
      <c r="J316" s="28" t="s">
        <v>608</v>
      </c>
      <c r="K316" s="222"/>
      <c r="L316" s="222"/>
      <c r="M316" s="28" t="s">
        <v>608</v>
      </c>
      <c r="N316" s="19" t="s">
        <v>3973</v>
      </c>
      <c r="O316" s="6" t="s">
        <v>608</v>
      </c>
      <c r="P316" s="222" t="s">
        <v>1138</v>
      </c>
      <c r="Q316" s="46" t="n">
        <f aca="false">Calib!D14</f>
        <v>130</v>
      </c>
      <c r="R316" s="175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3872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1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4603</v>
      </c>
      <c r="B317" s="222" t="s">
        <v>3833</v>
      </c>
      <c r="C317" s="28" t="s">
        <v>4582</v>
      </c>
      <c r="D317" s="28" t="s">
        <v>4353</v>
      </c>
      <c r="E317" s="6" t="s">
        <v>448</v>
      </c>
      <c r="F317" s="222" t="s">
        <v>319</v>
      </c>
      <c r="G317" s="222" t="s">
        <v>3835</v>
      </c>
      <c r="H317" s="28" t="s">
        <v>4601</v>
      </c>
      <c r="I317" s="19" t="s">
        <v>3870</v>
      </c>
      <c r="J317" s="28" t="s">
        <v>608</v>
      </c>
      <c r="K317" s="222"/>
      <c r="L317" s="222"/>
      <c r="M317" s="28" t="s">
        <v>608</v>
      </c>
      <c r="N317" s="19" t="s">
        <v>3973</v>
      </c>
      <c r="O317" s="6" t="s">
        <v>608</v>
      </c>
      <c r="P317" s="222" t="s">
        <v>1138</v>
      </c>
      <c r="Q317" s="46" t="n">
        <f aca="false">Calib!D15</f>
        <v>8192</v>
      </c>
      <c r="R317" s="175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3872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1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4604</v>
      </c>
      <c r="B318" s="222" t="s">
        <v>3833</v>
      </c>
      <c r="C318" s="28" t="s">
        <v>4582</v>
      </c>
      <c r="D318" s="28" t="s">
        <v>3882</v>
      </c>
      <c r="E318" s="6" t="s">
        <v>449</v>
      </c>
      <c r="F318" s="222" t="s">
        <v>319</v>
      </c>
      <c r="G318" s="222" t="s">
        <v>3835</v>
      </c>
      <c r="H318" s="28" t="s">
        <v>4601</v>
      </c>
      <c r="I318" s="19" t="s">
        <v>3870</v>
      </c>
      <c r="J318" s="28" t="s">
        <v>608</v>
      </c>
      <c r="K318" s="222"/>
      <c r="L318" s="222"/>
      <c r="M318" s="28" t="s">
        <v>608</v>
      </c>
      <c r="N318" s="19" t="s">
        <v>3973</v>
      </c>
      <c r="O318" s="6" t="s">
        <v>608</v>
      </c>
      <c r="P318" s="222" t="s">
        <v>1138</v>
      </c>
      <c r="Q318" s="46" t="n">
        <f aca="false">Calib!D16</f>
        <v>1024</v>
      </c>
      <c r="R318" s="175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3872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1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4605</v>
      </c>
      <c r="B319" s="222" t="s">
        <v>3833</v>
      </c>
      <c r="C319" s="28" t="s">
        <v>4582</v>
      </c>
      <c r="D319" s="28" t="s">
        <v>3888</v>
      </c>
      <c r="E319" s="19" t="s">
        <v>4597</v>
      </c>
      <c r="F319" s="222" t="s">
        <v>319</v>
      </c>
      <c r="G319" s="222" t="s">
        <v>3835</v>
      </c>
      <c r="H319" s="28" t="s">
        <v>4601</v>
      </c>
      <c r="I319" s="19" t="s">
        <v>4606</v>
      </c>
      <c r="J319" s="28" t="s">
        <v>608</v>
      </c>
      <c r="K319" s="222"/>
      <c r="L319" s="222"/>
      <c r="M319" s="28" t="s">
        <v>608</v>
      </c>
      <c r="N319" s="19" t="s">
        <v>3973</v>
      </c>
      <c r="O319" s="6" t="s">
        <v>4607</v>
      </c>
      <c r="P319" s="222" t="s">
        <v>1138</v>
      </c>
      <c r="Q319" s="46" t="n">
        <f aca="false">Calib!D17</f>
        <v>3405.2</v>
      </c>
      <c r="R319" s="175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3872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1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4608</v>
      </c>
      <c r="B320" s="222" t="s">
        <v>3833</v>
      </c>
      <c r="C320" s="28" t="s">
        <v>4582</v>
      </c>
      <c r="D320" s="28" t="s">
        <v>3706</v>
      </c>
      <c r="E320" s="6" t="s">
        <v>446</v>
      </c>
      <c r="F320" s="222" t="s">
        <v>319</v>
      </c>
      <c r="G320" s="222" t="s">
        <v>3835</v>
      </c>
      <c r="H320" s="28" t="s">
        <v>4609</v>
      </c>
      <c r="I320" s="19" t="s">
        <v>3870</v>
      </c>
      <c r="J320" s="28" t="s">
        <v>608</v>
      </c>
      <c r="K320" s="222"/>
      <c r="L320" s="222"/>
      <c r="M320" s="28" t="s">
        <v>608</v>
      </c>
      <c r="N320" s="19" t="s">
        <v>3973</v>
      </c>
      <c r="O320" s="6" t="s">
        <v>608</v>
      </c>
      <c r="P320" s="222" t="s">
        <v>3838</v>
      </c>
      <c r="Q320" s="31" t="n">
        <f aca="false">Calib!E13</f>
        <v>1</v>
      </c>
      <c r="R320" s="175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3872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1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4610</v>
      </c>
      <c r="B321" s="222" t="s">
        <v>3833</v>
      </c>
      <c r="C321" s="28" t="s">
        <v>4582</v>
      </c>
      <c r="D321" s="28" t="s">
        <v>3874</v>
      </c>
      <c r="E321" s="19" t="s">
        <v>447</v>
      </c>
      <c r="F321" s="222" t="s">
        <v>319</v>
      </c>
      <c r="G321" s="222" t="s">
        <v>3835</v>
      </c>
      <c r="H321" s="28" t="s">
        <v>4609</v>
      </c>
      <c r="I321" s="19" t="s">
        <v>3870</v>
      </c>
      <c r="J321" s="28" t="s">
        <v>608</v>
      </c>
      <c r="K321" s="222"/>
      <c r="L321" s="222"/>
      <c r="M321" s="28" t="s">
        <v>608</v>
      </c>
      <c r="N321" s="19" t="s">
        <v>3973</v>
      </c>
      <c r="O321" s="6" t="s">
        <v>608</v>
      </c>
      <c r="P321" s="222" t="s">
        <v>1138</v>
      </c>
      <c r="Q321" s="46" t="n">
        <f aca="false">Calib!E14</f>
        <v>50</v>
      </c>
      <c r="R321" s="175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3872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1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4611</v>
      </c>
      <c r="B322" s="222" t="s">
        <v>3833</v>
      </c>
      <c r="C322" s="28" t="s">
        <v>4582</v>
      </c>
      <c r="D322" s="28" t="s">
        <v>4401</v>
      </c>
      <c r="E322" s="6" t="s">
        <v>448</v>
      </c>
      <c r="F322" s="222" t="s">
        <v>319</v>
      </c>
      <c r="G322" s="222" t="s">
        <v>3835</v>
      </c>
      <c r="H322" s="28" t="s">
        <v>4609</v>
      </c>
      <c r="I322" s="19" t="s">
        <v>3870</v>
      </c>
      <c r="J322" s="28" t="s">
        <v>608</v>
      </c>
      <c r="K322" s="222"/>
      <c r="L322" s="222"/>
      <c r="M322" s="28" t="s">
        <v>608</v>
      </c>
      <c r="N322" s="19" t="s">
        <v>3973</v>
      </c>
      <c r="O322" s="6" t="s">
        <v>608</v>
      </c>
      <c r="P322" s="222" t="s">
        <v>1138</v>
      </c>
      <c r="Q322" s="46" t="n">
        <f aca="false">Calib!E15</f>
        <v>8192</v>
      </c>
      <c r="R322" s="175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3872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1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4612</v>
      </c>
      <c r="B323" s="222" t="s">
        <v>3833</v>
      </c>
      <c r="C323" s="28" t="s">
        <v>4582</v>
      </c>
      <c r="D323" s="28" t="s">
        <v>3880</v>
      </c>
      <c r="E323" s="6" t="s">
        <v>449</v>
      </c>
      <c r="F323" s="222" t="s">
        <v>319</v>
      </c>
      <c r="G323" s="222" t="s">
        <v>3835</v>
      </c>
      <c r="H323" s="28" t="s">
        <v>4609</v>
      </c>
      <c r="I323" s="19" t="s">
        <v>3870</v>
      </c>
      <c r="J323" s="28" t="s">
        <v>608</v>
      </c>
      <c r="K323" s="222"/>
      <c r="L323" s="222"/>
      <c r="M323" s="28" t="s">
        <v>608</v>
      </c>
      <c r="N323" s="19" t="s">
        <v>3973</v>
      </c>
      <c r="O323" s="6" t="s">
        <v>608</v>
      </c>
      <c r="P323" s="222" t="s">
        <v>1138</v>
      </c>
      <c r="Q323" s="46" t="n">
        <f aca="false">Calib!E16</f>
        <v>1024</v>
      </c>
      <c r="R323" s="175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3872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1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4613</v>
      </c>
      <c r="B324" s="222" t="s">
        <v>3833</v>
      </c>
      <c r="C324" s="28" t="s">
        <v>4582</v>
      </c>
      <c r="D324" s="28" t="s">
        <v>3886</v>
      </c>
      <c r="E324" s="19" t="s">
        <v>4597</v>
      </c>
      <c r="F324" s="222" t="s">
        <v>319</v>
      </c>
      <c r="G324" s="222" t="s">
        <v>3835</v>
      </c>
      <c r="H324" s="28" t="s">
        <v>4609</v>
      </c>
      <c r="I324" s="19" t="s">
        <v>3870</v>
      </c>
      <c r="J324" s="28" t="s">
        <v>608</v>
      </c>
      <c r="K324" s="222"/>
      <c r="L324" s="222"/>
      <c r="M324" s="28" t="s">
        <v>608</v>
      </c>
      <c r="N324" s="19" t="s">
        <v>3973</v>
      </c>
      <c r="O324" s="6" t="s">
        <v>608</v>
      </c>
      <c r="P324" s="222" t="s">
        <v>1138</v>
      </c>
      <c r="Q324" s="46" t="n">
        <f aca="false">Calib!E17</f>
        <v>11200</v>
      </c>
      <c r="R324" s="175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3872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1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4614</v>
      </c>
      <c r="B325" s="222" t="s">
        <v>3833</v>
      </c>
      <c r="C325" s="28" t="s">
        <v>4582</v>
      </c>
      <c r="D325" s="28" t="s">
        <v>3868</v>
      </c>
      <c r="E325" s="6" t="s">
        <v>446</v>
      </c>
      <c r="F325" s="222" t="s">
        <v>319</v>
      </c>
      <c r="G325" s="222" t="s">
        <v>3835</v>
      </c>
      <c r="H325" s="28" t="s">
        <v>4615</v>
      </c>
      <c r="I325" s="19" t="s">
        <v>3870</v>
      </c>
      <c r="J325" s="28" t="s">
        <v>608</v>
      </c>
      <c r="K325" s="222"/>
      <c r="L325" s="222"/>
      <c r="M325" s="28" t="s">
        <v>608</v>
      </c>
      <c r="N325" s="19" t="s">
        <v>3973</v>
      </c>
      <c r="O325" s="6" t="s">
        <v>608</v>
      </c>
      <c r="P325" s="222" t="s">
        <v>3838</v>
      </c>
      <c r="Q325" s="31" t="n">
        <f aca="false">Calib!F13</f>
        <v>0</v>
      </c>
      <c r="R325" s="175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3872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1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4616</v>
      </c>
      <c r="B326" s="222" t="s">
        <v>3833</v>
      </c>
      <c r="C326" s="28" t="s">
        <v>4582</v>
      </c>
      <c r="D326" s="28" t="s">
        <v>3878</v>
      </c>
      <c r="E326" s="19" t="s">
        <v>447</v>
      </c>
      <c r="F326" s="222" t="s">
        <v>319</v>
      </c>
      <c r="G326" s="222" t="s">
        <v>3835</v>
      </c>
      <c r="H326" s="28" t="s">
        <v>4615</v>
      </c>
      <c r="I326" s="19" t="s">
        <v>3870</v>
      </c>
      <c r="J326" s="28" t="s">
        <v>608</v>
      </c>
      <c r="K326" s="222"/>
      <c r="L326" s="222"/>
      <c r="M326" s="28" t="s">
        <v>608</v>
      </c>
      <c r="N326" s="19" t="s">
        <v>3973</v>
      </c>
      <c r="O326" s="6" t="s">
        <v>608</v>
      </c>
      <c r="P326" s="222" t="s">
        <v>1138</v>
      </c>
      <c r="Q326" s="46" t="n">
        <f aca="false">Calib!F14</f>
        <v>27</v>
      </c>
      <c r="R326" s="175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3872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1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4617</v>
      </c>
      <c r="B327" s="222" t="s">
        <v>3833</v>
      </c>
      <c r="C327" s="28" t="s">
        <v>4582</v>
      </c>
      <c r="D327" s="28" t="s">
        <v>4618</v>
      </c>
      <c r="E327" s="6" t="s">
        <v>448</v>
      </c>
      <c r="F327" s="222" t="s">
        <v>319</v>
      </c>
      <c r="G327" s="222" t="s">
        <v>3835</v>
      </c>
      <c r="H327" s="28" t="s">
        <v>4615</v>
      </c>
      <c r="I327" s="19" t="s">
        <v>3870</v>
      </c>
      <c r="J327" s="28" t="s">
        <v>608</v>
      </c>
      <c r="K327" s="222"/>
      <c r="L327" s="222"/>
      <c r="M327" s="28" t="s">
        <v>608</v>
      </c>
      <c r="N327" s="19" t="s">
        <v>3973</v>
      </c>
      <c r="O327" s="6" t="s">
        <v>608</v>
      </c>
      <c r="P327" s="222" t="s">
        <v>1138</v>
      </c>
      <c r="Q327" s="46" t="n">
        <f aca="false">Calib!F15</f>
        <v>8192</v>
      </c>
      <c r="R327" s="175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3872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1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4619</v>
      </c>
      <c r="B328" s="222" t="s">
        <v>3833</v>
      </c>
      <c r="C328" s="28" t="s">
        <v>4582</v>
      </c>
      <c r="D328" s="28" t="s">
        <v>3884</v>
      </c>
      <c r="E328" s="6" t="s">
        <v>449</v>
      </c>
      <c r="F328" s="222" t="s">
        <v>319</v>
      </c>
      <c r="G328" s="222" t="s">
        <v>3835</v>
      </c>
      <c r="H328" s="28" t="s">
        <v>4615</v>
      </c>
      <c r="I328" s="19" t="s">
        <v>3870</v>
      </c>
      <c r="J328" s="28" t="s">
        <v>608</v>
      </c>
      <c r="K328" s="222"/>
      <c r="L328" s="222"/>
      <c r="M328" s="28" t="s">
        <v>608</v>
      </c>
      <c r="N328" s="19" t="s">
        <v>3973</v>
      </c>
      <c r="O328" s="6" t="s">
        <v>608</v>
      </c>
      <c r="P328" s="222" t="s">
        <v>1138</v>
      </c>
      <c r="Q328" s="46" t="n">
        <f aca="false">Calib!F16</f>
        <v>1024</v>
      </c>
      <c r="R328" s="175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3872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1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4620</v>
      </c>
      <c r="B329" s="222" t="s">
        <v>3833</v>
      </c>
      <c r="C329" s="28" t="s">
        <v>4582</v>
      </c>
      <c r="D329" s="28" t="s">
        <v>3890</v>
      </c>
      <c r="E329" s="19" t="s">
        <v>4597</v>
      </c>
      <c r="F329" s="222" t="s">
        <v>319</v>
      </c>
      <c r="G329" s="222" t="s">
        <v>3835</v>
      </c>
      <c r="H329" s="28" t="s">
        <v>4615</v>
      </c>
      <c r="I329" s="19" t="s">
        <v>3870</v>
      </c>
      <c r="J329" s="28" t="s">
        <v>608</v>
      </c>
      <c r="K329" s="222"/>
      <c r="L329" s="222"/>
      <c r="M329" s="28" t="s">
        <v>608</v>
      </c>
      <c r="N329" s="19" t="s">
        <v>3973</v>
      </c>
      <c r="O329" s="6" t="s">
        <v>608</v>
      </c>
      <c r="P329" s="222" t="s">
        <v>1138</v>
      </c>
      <c r="Q329" s="46" t="n">
        <f aca="false">Calib!F17</f>
        <v>6182</v>
      </c>
      <c r="R329" s="175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3872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1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4621</v>
      </c>
      <c r="B330" s="222" t="s">
        <v>3833</v>
      </c>
      <c r="C330" s="28" t="s">
        <v>4582</v>
      </c>
      <c r="D330" s="28" t="s">
        <v>4109</v>
      </c>
      <c r="E330" s="6" t="s">
        <v>446</v>
      </c>
      <c r="F330" s="222" t="s">
        <v>319</v>
      </c>
      <c r="G330" s="222" t="s">
        <v>3835</v>
      </c>
      <c r="H330" s="28" t="s">
        <v>4622</v>
      </c>
      <c r="I330" s="19" t="s">
        <v>3870</v>
      </c>
      <c r="J330" s="28" t="s">
        <v>608</v>
      </c>
      <c r="K330" s="222"/>
      <c r="L330" s="222"/>
      <c r="M330" s="28" t="s">
        <v>608</v>
      </c>
      <c r="N330" s="19" t="s">
        <v>3973</v>
      </c>
      <c r="O330" s="6" t="s">
        <v>608</v>
      </c>
      <c r="P330" s="222" t="s">
        <v>3838</v>
      </c>
      <c r="Q330" s="31" t="n">
        <f aca="false">Calib!G13</f>
        <v>0</v>
      </c>
      <c r="R330" s="175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3872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1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4623</v>
      </c>
      <c r="B331" s="222" t="s">
        <v>3833</v>
      </c>
      <c r="C331" s="28" t="s">
        <v>4582</v>
      </c>
      <c r="D331" s="28" t="s">
        <v>4571</v>
      </c>
      <c r="E331" s="19" t="s">
        <v>447</v>
      </c>
      <c r="F331" s="222" t="s">
        <v>319</v>
      </c>
      <c r="G331" s="222" t="s">
        <v>3835</v>
      </c>
      <c r="H331" s="28" t="s">
        <v>4622</v>
      </c>
      <c r="I331" s="19" t="s">
        <v>3870</v>
      </c>
      <c r="J331" s="28" t="s">
        <v>608</v>
      </c>
      <c r="K331" s="222"/>
      <c r="L331" s="222"/>
      <c r="M331" s="28" t="s">
        <v>608</v>
      </c>
      <c r="N331" s="19" t="s">
        <v>3973</v>
      </c>
      <c r="O331" s="6" t="s">
        <v>608</v>
      </c>
      <c r="P331" s="222" t="s">
        <v>1138</v>
      </c>
      <c r="Q331" s="46" t="n">
        <f aca="false">Calib!G14</f>
        <v>27</v>
      </c>
      <c r="R331" s="175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3872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1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4624</v>
      </c>
      <c r="B332" s="222" t="s">
        <v>3833</v>
      </c>
      <c r="C332" s="28" t="s">
        <v>4582</v>
      </c>
      <c r="D332" s="28" t="s">
        <v>4625</v>
      </c>
      <c r="E332" s="6" t="s">
        <v>448</v>
      </c>
      <c r="F332" s="222" t="s">
        <v>319</v>
      </c>
      <c r="G332" s="222" t="s">
        <v>3835</v>
      </c>
      <c r="H332" s="28" t="s">
        <v>4622</v>
      </c>
      <c r="I332" s="19" t="s">
        <v>3870</v>
      </c>
      <c r="J332" s="28" t="s">
        <v>608</v>
      </c>
      <c r="K332" s="222"/>
      <c r="L332" s="222"/>
      <c r="M332" s="28" t="s">
        <v>608</v>
      </c>
      <c r="N332" s="19" t="s">
        <v>3973</v>
      </c>
      <c r="O332" s="6" t="s">
        <v>608</v>
      </c>
      <c r="P332" s="222" t="s">
        <v>1138</v>
      </c>
      <c r="Q332" s="46" t="n">
        <f aca="false">Calib!G15</f>
        <v>8192</v>
      </c>
      <c r="R332" s="175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3872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1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4626</v>
      </c>
      <c r="B333" s="222" t="s">
        <v>3833</v>
      </c>
      <c r="C333" s="28" t="s">
        <v>4582</v>
      </c>
      <c r="D333" s="28" t="s">
        <v>4627</v>
      </c>
      <c r="E333" s="6" t="s">
        <v>449</v>
      </c>
      <c r="F333" s="222" t="s">
        <v>319</v>
      </c>
      <c r="G333" s="222" t="s">
        <v>3835</v>
      </c>
      <c r="H333" s="28" t="s">
        <v>4622</v>
      </c>
      <c r="I333" s="19" t="s">
        <v>3870</v>
      </c>
      <c r="J333" s="28" t="s">
        <v>608</v>
      </c>
      <c r="K333" s="222"/>
      <c r="L333" s="222"/>
      <c r="M333" s="28" t="s">
        <v>608</v>
      </c>
      <c r="N333" s="19" t="s">
        <v>3973</v>
      </c>
      <c r="O333" s="6" t="s">
        <v>608</v>
      </c>
      <c r="P333" s="222" t="s">
        <v>1138</v>
      </c>
      <c r="Q333" s="46" t="n">
        <f aca="false">Calib!G16</f>
        <v>1024</v>
      </c>
      <c r="R333" s="175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3872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1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4628</v>
      </c>
      <c r="B334" s="222" t="s">
        <v>3833</v>
      </c>
      <c r="C334" s="28" t="s">
        <v>4582</v>
      </c>
      <c r="D334" s="28" t="s">
        <v>4629</v>
      </c>
      <c r="E334" s="19" t="s">
        <v>4597</v>
      </c>
      <c r="F334" s="222" t="s">
        <v>319</v>
      </c>
      <c r="G334" s="222" t="s">
        <v>3835</v>
      </c>
      <c r="H334" s="28" t="s">
        <v>4622</v>
      </c>
      <c r="I334" s="19" t="s">
        <v>3870</v>
      </c>
      <c r="J334" s="28" t="s">
        <v>608</v>
      </c>
      <c r="K334" s="222"/>
      <c r="L334" s="222"/>
      <c r="M334" s="28" t="s">
        <v>608</v>
      </c>
      <c r="N334" s="19" t="s">
        <v>3973</v>
      </c>
      <c r="O334" s="6" t="s">
        <v>608</v>
      </c>
      <c r="P334" s="222" t="s">
        <v>1138</v>
      </c>
      <c r="Q334" s="46" t="n">
        <f aca="false">Calib!G17</f>
        <v>2189</v>
      </c>
      <c r="R334" s="175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3872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1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4630</v>
      </c>
      <c r="B335" s="222" t="s">
        <v>3833</v>
      </c>
      <c r="C335" s="28" t="s">
        <v>4582</v>
      </c>
      <c r="D335" s="28" t="s">
        <v>4631</v>
      </c>
      <c r="E335" s="6" t="s">
        <v>446</v>
      </c>
      <c r="F335" s="222" t="s">
        <v>319</v>
      </c>
      <c r="G335" s="222" t="s">
        <v>3835</v>
      </c>
      <c r="H335" s="28" t="s">
        <v>4632</v>
      </c>
      <c r="I335" s="19" t="s">
        <v>3870</v>
      </c>
      <c r="J335" s="28" t="s">
        <v>608</v>
      </c>
      <c r="K335" s="222"/>
      <c r="L335" s="222"/>
      <c r="M335" s="28" t="s">
        <v>608</v>
      </c>
      <c r="N335" s="19" t="s">
        <v>3973</v>
      </c>
      <c r="O335" s="6" t="s">
        <v>608</v>
      </c>
      <c r="P335" s="222" t="s">
        <v>3838</v>
      </c>
      <c r="Q335" s="31" t="n">
        <f aca="false">Calib!H13</f>
        <v>1</v>
      </c>
      <c r="R335" s="175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3872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1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4633</v>
      </c>
      <c r="B336" s="222" t="s">
        <v>3833</v>
      </c>
      <c r="C336" s="28" t="s">
        <v>4582</v>
      </c>
      <c r="D336" s="28" t="s">
        <v>4634</v>
      </c>
      <c r="E336" s="19" t="s">
        <v>447</v>
      </c>
      <c r="F336" s="222" t="s">
        <v>319</v>
      </c>
      <c r="G336" s="222" t="s">
        <v>3835</v>
      </c>
      <c r="H336" s="28" t="s">
        <v>4632</v>
      </c>
      <c r="I336" s="19" t="s">
        <v>3870</v>
      </c>
      <c r="J336" s="28" t="s">
        <v>608</v>
      </c>
      <c r="K336" s="222"/>
      <c r="L336" s="222"/>
      <c r="M336" s="28" t="s">
        <v>608</v>
      </c>
      <c r="N336" s="19" t="s">
        <v>3973</v>
      </c>
      <c r="O336" s="6" t="s">
        <v>608</v>
      </c>
      <c r="P336" s="222" t="s">
        <v>1138</v>
      </c>
      <c r="Q336" s="46" t="n">
        <f aca="false">Calib!H14</f>
        <v>110</v>
      </c>
      <c r="R336" s="175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3872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1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4635</v>
      </c>
      <c r="B337" s="222" t="s">
        <v>3833</v>
      </c>
      <c r="C337" s="28" t="s">
        <v>4582</v>
      </c>
      <c r="D337" s="28" t="s">
        <v>4636</v>
      </c>
      <c r="E337" s="6" t="s">
        <v>448</v>
      </c>
      <c r="F337" s="222" t="s">
        <v>319</v>
      </c>
      <c r="G337" s="222" t="s">
        <v>3835</v>
      </c>
      <c r="H337" s="28" t="s">
        <v>4632</v>
      </c>
      <c r="I337" s="19" t="s">
        <v>3870</v>
      </c>
      <c r="J337" s="28" t="s">
        <v>608</v>
      </c>
      <c r="K337" s="222"/>
      <c r="L337" s="222"/>
      <c r="M337" s="28" t="s">
        <v>608</v>
      </c>
      <c r="N337" s="19" t="s">
        <v>3973</v>
      </c>
      <c r="O337" s="6" t="s">
        <v>608</v>
      </c>
      <c r="P337" s="222" t="s">
        <v>1138</v>
      </c>
      <c r="Q337" s="46" t="n">
        <f aca="false">Calib!H15</f>
        <v>8192</v>
      </c>
      <c r="R337" s="175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3872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1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4637</v>
      </c>
      <c r="B338" s="222" t="s">
        <v>3833</v>
      </c>
      <c r="C338" s="28" t="s">
        <v>4582</v>
      </c>
      <c r="D338" s="28" t="s">
        <v>4638</v>
      </c>
      <c r="E338" s="6" t="s">
        <v>449</v>
      </c>
      <c r="F338" s="222" t="s">
        <v>319</v>
      </c>
      <c r="G338" s="222" t="s">
        <v>3835</v>
      </c>
      <c r="H338" s="28" t="s">
        <v>4632</v>
      </c>
      <c r="I338" s="19" t="s">
        <v>3870</v>
      </c>
      <c r="J338" s="28" t="s">
        <v>608</v>
      </c>
      <c r="K338" s="222"/>
      <c r="L338" s="222"/>
      <c r="M338" s="28" t="s">
        <v>608</v>
      </c>
      <c r="N338" s="19" t="s">
        <v>3973</v>
      </c>
      <c r="O338" s="6" t="s">
        <v>608</v>
      </c>
      <c r="P338" s="222" t="s">
        <v>1138</v>
      </c>
      <c r="Q338" s="46" t="n">
        <f aca="false">Calib!H16</f>
        <v>1024</v>
      </c>
      <c r="R338" s="175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3872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1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4639</v>
      </c>
      <c r="B339" s="222" t="s">
        <v>3833</v>
      </c>
      <c r="C339" s="28" t="s">
        <v>4582</v>
      </c>
      <c r="D339" s="28" t="s">
        <v>4640</v>
      </c>
      <c r="E339" s="19" t="s">
        <v>4597</v>
      </c>
      <c r="F339" s="222" t="s">
        <v>319</v>
      </c>
      <c r="G339" s="222" t="s">
        <v>3835</v>
      </c>
      <c r="H339" s="28" t="s">
        <v>4632</v>
      </c>
      <c r="I339" s="19" t="s">
        <v>3870</v>
      </c>
      <c r="J339" s="28" t="s">
        <v>608</v>
      </c>
      <c r="K339" s="222"/>
      <c r="L339" s="222"/>
      <c r="M339" s="28" t="s">
        <v>608</v>
      </c>
      <c r="N339" s="19" t="s">
        <v>3973</v>
      </c>
      <c r="O339" s="6" t="s">
        <v>608</v>
      </c>
      <c r="P339" s="222" t="s">
        <v>1138</v>
      </c>
      <c r="Q339" s="46" t="n">
        <f aca="false">Calib!H17</f>
        <v>3795.5</v>
      </c>
      <c r="R339" s="175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3872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1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4641</v>
      </c>
      <c r="B340" s="222" t="s">
        <v>3833</v>
      </c>
      <c r="C340" s="28" t="s">
        <v>4582</v>
      </c>
      <c r="D340" s="28" t="s">
        <v>4642</v>
      </c>
      <c r="E340" s="6" t="s">
        <v>446</v>
      </c>
      <c r="F340" s="222" t="s">
        <v>319</v>
      </c>
      <c r="G340" s="222" t="s">
        <v>3835</v>
      </c>
      <c r="H340" s="28" t="s">
        <v>4643</v>
      </c>
      <c r="I340" s="19" t="s">
        <v>3870</v>
      </c>
      <c r="J340" s="28" t="s">
        <v>608</v>
      </c>
      <c r="K340" s="222"/>
      <c r="L340" s="222"/>
      <c r="M340" s="28" t="s">
        <v>608</v>
      </c>
      <c r="N340" s="19" t="s">
        <v>3973</v>
      </c>
      <c r="O340" s="6" t="s">
        <v>608</v>
      </c>
      <c r="P340" s="222" t="s">
        <v>3838</v>
      </c>
      <c r="Q340" s="31" t="n">
        <f aca="false">Calib!I13</f>
        <v>1</v>
      </c>
      <c r="R340" s="175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3872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1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4644</v>
      </c>
      <c r="B341" s="222" t="s">
        <v>3833</v>
      </c>
      <c r="C341" s="28" t="s">
        <v>4582</v>
      </c>
      <c r="D341" s="28" t="s">
        <v>4645</v>
      </c>
      <c r="E341" s="19" t="s">
        <v>447</v>
      </c>
      <c r="F341" s="222" t="s">
        <v>319</v>
      </c>
      <c r="G341" s="222" t="s">
        <v>3835</v>
      </c>
      <c r="H341" s="28" t="s">
        <v>4643</v>
      </c>
      <c r="I341" s="19" t="s">
        <v>3870</v>
      </c>
      <c r="J341" s="28" t="s">
        <v>608</v>
      </c>
      <c r="K341" s="222"/>
      <c r="L341" s="222"/>
      <c r="M341" s="28" t="s">
        <v>608</v>
      </c>
      <c r="N341" s="19" t="s">
        <v>3973</v>
      </c>
      <c r="O341" s="6" t="s">
        <v>608</v>
      </c>
      <c r="P341" s="222" t="s">
        <v>1138</v>
      </c>
      <c r="Q341" s="46" t="n">
        <f aca="false">Calib!I14</f>
        <v>110</v>
      </c>
      <c r="R341" s="175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3872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1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4646</v>
      </c>
      <c r="B342" s="222" t="s">
        <v>3833</v>
      </c>
      <c r="C342" s="28" t="s">
        <v>4582</v>
      </c>
      <c r="D342" s="28" t="s">
        <v>4647</v>
      </c>
      <c r="E342" s="6" t="s">
        <v>448</v>
      </c>
      <c r="F342" s="222" t="s">
        <v>319</v>
      </c>
      <c r="G342" s="222" t="s">
        <v>3835</v>
      </c>
      <c r="H342" s="28" t="s">
        <v>4643</v>
      </c>
      <c r="I342" s="19" t="s">
        <v>3870</v>
      </c>
      <c r="J342" s="28" t="s">
        <v>608</v>
      </c>
      <c r="K342" s="222"/>
      <c r="L342" s="222"/>
      <c r="M342" s="28" t="s">
        <v>608</v>
      </c>
      <c r="N342" s="19" t="s">
        <v>3973</v>
      </c>
      <c r="O342" s="6" t="s">
        <v>608</v>
      </c>
      <c r="P342" s="222" t="s">
        <v>1138</v>
      </c>
      <c r="Q342" s="46" t="n">
        <f aca="false">Calib!I15</f>
        <v>8192</v>
      </c>
      <c r="R342" s="175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3872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1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4648</v>
      </c>
      <c r="B343" s="222" t="s">
        <v>3833</v>
      </c>
      <c r="C343" s="28" t="s">
        <v>4582</v>
      </c>
      <c r="D343" s="28" t="s">
        <v>4649</v>
      </c>
      <c r="E343" s="6" t="s">
        <v>449</v>
      </c>
      <c r="F343" s="222" t="s">
        <v>319</v>
      </c>
      <c r="G343" s="222" t="s">
        <v>3835</v>
      </c>
      <c r="H343" s="28" t="s">
        <v>4643</v>
      </c>
      <c r="I343" s="19" t="s">
        <v>3870</v>
      </c>
      <c r="J343" s="28" t="s">
        <v>608</v>
      </c>
      <c r="K343" s="222"/>
      <c r="L343" s="222"/>
      <c r="M343" s="28" t="s">
        <v>608</v>
      </c>
      <c r="N343" s="19" t="s">
        <v>3973</v>
      </c>
      <c r="O343" s="6" t="s">
        <v>608</v>
      </c>
      <c r="P343" s="222" t="s">
        <v>1138</v>
      </c>
      <c r="Q343" s="46" t="n">
        <f aca="false">Calib!I16</f>
        <v>1024</v>
      </c>
      <c r="R343" s="175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3872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1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4650</v>
      </c>
      <c r="B344" s="222" t="s">
        <v>3833</v>
      </c>
      <c r="C344" s="28" t="s">
        <v>4582</v>
      </c>
      <c r="D344" s="28" t="s">
        <v>4651</v>
      </c>
      <c r="E344" s="19" t="s">
        <v>4597</v>
      </c>
      <c r="F344" s="222" t="s">
        <v>319</v>
      </c>
      <c r="G344" s="222" t="s">
        <v>3835</v>
      </c>
      <c r="H344" s="28" t="s">
        <v>4643</v>
      </c>
      <c r="I344" s="19" t="s">
        <v>3870</v>
      </c>
      <c r="J344" s="28" t="s">
        <v>608</v>
      </c>
      <c r="K344" s="222"/>
      <c r="L344" s="222"/>
      <c r="M344" s="28" t="s">
        <v>608</v>
      </c>
      <c r="N344" s="19" t="s">
        <v>3973</v>
      </c>
      <c r="O344" s="6" t="s">
        <v>608</v>
      </c>
      <c r="P344" s="222" t="s">
        <v>1138</v>
      </c>
      <c r="Q344" s="46" t="n">
        <f aca="false">Calib!I17</f>
        <v>6522.4</v>
      </c>
      <c r="R344" s="175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3872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1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4652</v>
      </c>
      <c r="B345" s="222" t="s">
        <v>3833</v>
      </c>
      <c r="C345" s="28" t="s">
        <v>4582</v>
      </c>
      <c r="D345" s="28" t="s">
        <v>4653</v>
      </c>
      <c r="E345" s="6" t="s">
        <v>506</v>
      </c>
      <c r="F345" s="28" t="s">
        <v>98</v>
      </c>
      <c r="G345" s="222" t="s">
        <v>3835</v>
      </c>
      <c r="H345" s="28" t="s">
        <v>4654</v>
      </c>
      <c r="I345" s="19" t="s">
        <v>4655</v>
      </c>
      <c r="J345" s="28" t="s">
        <v>608</v>
      </c>
      <c r="K345" s="224" t="n">
        <v>0.5</v>
      </c>
      <c r="L345" s="224" t="n">
        <v>2.5</v>
      </c>
      <c r="M345" s="28" t="s">
        <v>4656</v>
      </c>
      <c r="N345" s="223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608</v>
      </c>
      <c r="P345" s="222" t="s">
        <v>1138</v>
      </c>
      <c r="Q345" s="183" t="n">
        <f aca="false">Calib!C67</f>
        <v>1.5</v>
      </c>
      <c r="R345" s="175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3839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1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4657</v>
      </c>
      <c r="B346" s="222" t="s">
        <v>3833</v>
      </c>
      <c r="C346" s="28" t="s">
        <v>4582</v>
      </c>
      <c r="D346" s="28" t="s">
        <v>4658</v>
      </c>
      <c r="E346" s="6" t="s">
        <v>506</v>
      </c>
      <c r="F346" s="28" t="s">
        <v>98</v>
      </c>
      <c r="G346" s="222" t="s">
        <v>3835</v>
      </c>
      <c r="H346" s="28" t="s">
        <v>4592</v>
      </c>
      <c r="I346" s="19" t="s">
        <v>4659</v>
      </c>
      <c r="J346" s="28" t="s">
        <v>608</v>
      </c>
      <c r="K346" s="224" t="n">
        <v>0.5</v>
      </c>
      <c r="L346" s="224" t="n">
        <v>1.5</v>
      </c>
      <c r="M346" s="28" t="s">
        <v>4660</v>
      </c>
      <c r="N346" s="19" t="s">
        <v>4661</v>
      </c>
      <c r="O346" s="6" t="s">
        <v>608</v>
      </c>
      <c r="P346" s="222" t="s">
        <v>1138</v>
      </c>
      <c r="Q346" s="183" t="n">
        <f aca="false">Calib!D67</f>
        <v>1</v>
      </c>
      <c r="R346" s="175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3839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1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4662</v>
      </c>
      <c r="B347" s="222" t="s">
        <v>3833</v>
      </c>
      <c r="C347" s="28" t="s">
        <v>4582</v>
      </c>
      <c r="D347" s="28" t="s">
        <v>4663</v>
      </c>
      <c r="E347" s="6" t="s">
        <v>506</v>
      </c>
      <c r="F347" s="28" t="s">
        <v>98</v>
      </c>
      <c r="G347" s="222" t="s">
        <v>3835</v>
      </c>
      <c r="H347" s="28" t="s">
        <v>4592</v>
      </c>
      <c r="I347" s="19" t="s">
        <v>4659</v>
      </c>
      <c r="J347" s="28" t="s">
        <v>608</v>
      </c>
      <c r="K347" s="224" t="n">
        <v>0.5</v>
      </c>
      <c r="L347" s="224" t="n">
        <v>1.5</v>
      </c>
      <c r="M347" s="28" t="s">
        <v>4660</v>
      </c>
      <c r="N347" s="19" t="s">
        <v>4661</v>
      </c>
      <c r="O347" s="6" t="s">
        <v>608</v>
      </c>
      <c r="P347" s="222" t="s">
        <v>1138</v>
      </c>
      <c r="Q347" s="183" t="n">
        <f aca="false">Calib!E67</f>
        <v>1</v>
      </c>
      <c r="R347" s="175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3839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1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4664</v>
      </c>
      <c r="B348" s="222" t="s">
        <v>3833</v>
      </c>
      <c r="C348" s="28" t="s">
        <v>4582</v>
      </c>
      <c r="D348" s="28" t="s">
        <v>4665</v>
      </c>
      <c r="E348" s="6" t="s">
        <v>506</v>
      </c>
      <c r="F348" s="28" t="s">
        <v>98</v>
      </c>
      <c r="G348" s="222" t="s">
        <v>3835</v>
      </c>
      <c r="H348" s="28" t="s">
        <v>4592</v>
      </c>
      <c r="I348" s="19" t="s">
        <v>4659</v>
      </c>
      <c r="J348" s="28" t="s">
        <v>608</v>
      </c>
      <c r="K348" s="224" t="n">
        <v>0.5</v>
      </c>
      <c r="L348" s="224" t="n">
        <v>1.5</v>
      </c>
      <c r="M348" s="28" t="s">
        <v>4660</v>
      </c>
      <c r="N348" s="19" t="s">
        <v>4666</v>
      </c>
      <c r="O348" s="6" t="s">
        <v>608</v>
      </c>
      <c r="P348" s="222" t="s">
        <v>1138</v>
      </c>
      <c r="Q348" s="183" t="n">
        <f aca="false">Calib!F67</f>
        <v>1</v>
      </c>
      <c r="R348" s="175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3839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1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4667</v>
      </c>
      <c r="B349" s="222" t="s">
        <v>3833</v>
      </c>
      <c r="C349" s="28" t="s">
        <v>4582</v>
      </c>
      <c r="D349" s="28" t="s">
        <v>4668</v>
      </c>
      <c r="E349" s="6" t="s">
        <v>506</v>
      </c>
      <c r="F349" s="28" t="s">
        <v>98</v>
      </c>
      <c r="G349" s="222" t="s">
        <v>3835</v>
      </c>
      <c r="H349" s="28" t="s">
        <v>4592</v>
      </c>
      <c r="I349" s="19" t="s">
        <v>4659</v>
      </c>
      <c r="J349" s="28" t="s">
        <v>608</v>
      </c>
      <c r="K349" s="224" t="n">
        <v>0.5</v>
      </c>
      <c r="L349" s="224" t="n">
        <v>1.5</v>
      </c>
      <c r="M349" s="28" t="s">
        <v>4660</v>
      </c>
      <c r="N349" s="19" t="s">
        <v>4661</v>
      </c>
      <c r="O349" s="6" t="s">
        <v>608</v>
      </c>
      <c r="P349" s="222" t="s">
        <v>1138</v>
      </c>
      <c r="Q349" s="183" t="n">
        <f aca="false">Calib!G67</f>
        <v>1</v>
      </c>
      <c r="R349" s="175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3839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1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4669</v>
      </c>
      <c r="B350" s="222" t="s">
        <v>3833</v>
      </c>
      <c r="C350" s="28" t="s">
        <v>4582</v>
      </c>
      <c r="D350" s="28" t="s">
        <v>4670</v>
      </c>
      <c r="E350" s="19" t="s">
        <v>508</v>
      </c>
      <c r="F350" s="28" t="s">
        <v>94</v>
      </c>
      <c r="G350" s="222" t="s">
        <v>3835</v>
      </c>
      <c r="H350" s="28" t="s">
        <v>608</v>
      </c>
      <c r="I350" s="6" t="s">
        <v>608</v>
      </c>
      <c r="J350" s="28" t="s">
        <v>608</v>
      </c>
      <c r="K350" s="224" t="n">
        <v>1</v>
      </c>
      <c r="L350" s="224" t="n">
        <v>3</v>
      </c>
      <c r="M350" s="28" t="s">
        <v>4671</v>
      </c>
      <c r="N350" s="223" t="str">
        <f aca="false">Calib!$J$68</f>
        <v>Hopper EP 跨節點走 IB [Assumed 1.5，區間 1–3]</v>
      </c>
      <c r="O350" s="6" t="s">
        <v>608</v>
      </c>
      <c r="P350" s="222" t="s">
        <v>1138</v>
      </c>
      <c r="Q350" s="183" t="n">
        <f aca="false">Calib!C68</f>
        <v>1.5</v>
      </c>
      <c r="R350" s="28" t="s">
        <v>608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3839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1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4672</v>
      </c>
      <c r="B351" s="222" t="s">
        <v>3833</v>
      </c>
      <c r="C351" s="28" t="s">
        <v>4582</v>
      </c>
      <c r="D351" s="28" t="s">
        <v>4673</v>
      </c>
      <c r="E351" s="19" t="s">
        <v>508</v>
      </c>
      <c r="F351" s="28" t="s">
        <v>94</v>
      </c>
      <c r="G351" s="222" t="s">
        <v>3835</v>
      </c>
      <c r="H351" s="28" t="s">
        <v>608</v>
      </c>
      <c r="I351" s="6" t="s">
        <v>608</v>
      </c>
      <c r="J351" s="28" t="s">
        <v>608</v>
      </c>
      <c r="K351" s="224" t="n">
        <v>1</v>
      </c>
      <c r="L351" s="224" t="n">
        <v>1.5</v>
      </c>
      <c r="M351" s="28" t="s">
        <v>4674</v>
      </c>
      <c r="N351" s="19" t="s">
        <v>4675</v>
      </c>
      <c r="O351" s="6" t="s">
        <v>608</v>
      </c>
      <c r="P351" s="222" t="s">
        <v>1138</v>
      </c>
      <c r="Q351" s="183" t="n">
        <f aca="false">Calib!D68</f>
        <v>1</v>
      </c>
      <c r="R351" s="28" t="s">
        <v>608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3839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1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4676</v>
      </c>
      <c r="B352" s="222" t="s">
        <v>3833</v>
      </c>
      <c r="C352" s="28" t="s">
        <v>4582</v>
      </c>
      <c r="D352" s="28" t="s">
        <v>4677</v>
      </c>
      <c r="E352" s="19" t="s">
        <v>508</v>
      </c>
      <c r="F352" s="28" t="s">
        <v>94</v>
      </c>
      <c r="G352" s="222" t="s">
        <v>3835</v>
      </c>
      <c r="H352" s="28" t="s">
        <v>608</v>
      </c>
      <c r="I352" s="6" t="s">
        <v>608</v>
      </c>
      <c r="J352" s="28" t="s">
        <v>608</v>
      </c>
      <c r="K352" s="224" t="n">
        <v>1</v>
      </c>
      <c r="L352" s="224" t="n">
        <v>1.5</v>
      </c>
      <c r="M352" s="28" t="s">
        <v>4674</v>
      </c>
      <c r="N352" s="19" t="s">
        <v>4675</v>
      </c>
      <c r="O352" s="6" t="s">
        <v>608</v>
      </c>
      <c r="P352" s="222" t="s">
        <v>1138</v>
      </c>
      <c r="Q352" s="183" t="n">
        <f aca="false">Calib!E68</f>
        <v>1</v>
      </c>
      <c r="R352" s="28" t="s">
        <v>608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3839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1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4678</v>
      </c>
      <c r="B353" s="222" t="s">
        <v>3833</v>
      </c>
      <c r="C353" s="28" t="s">
        <v>4582</v>
      </c>
      <c r="D353" s="28" t="s">
        <v>4679</v>
      </c>
      <c r="E353" s="19" t="s">
        <v>508</v>
      </c>
      <c r="F353" s="28" t="s">
        <v>94</v>
      </c>
      <c r="G353" s="222" t="s">
        <v>3835</v>
      </c>
      <c r="H353" s="28" t="s">
        <v>608</v>
      </c>
      <c r="I353" s="6" t="s">
        <v>608</v>
      </c>
      <c r="J353" s="28" t="s">
        <v>608</v>
      </c>
      <c r="K353" s="224" t="n">
        <v>1</v>
      </c>
      <c r="L353" s="224" t="n">
        <v>1.5</v>
      </c>
      <c r="M353" s="28" t="s">
        <v>4674</v>
      </c>
      <c r="N353" s="19" t="s">
        <v>4675</v>
      </c>
      <c r="O353" s="6" t="s">
        <v>608</v>
      </c>
      <c r="P353" s="222" t="s">
        <v>1138</v>
      </c>
      <c r="Q353" s="183" t="n">
        <f aca="false">Calib!F68</f>
        <v>1</v>
      </c>
      <c r="R353" s="28" t="s">
        <v>608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3839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1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4680</v>
      </c>
      <c r="B354" s="222" t="s">
        <v>3833</v>
      </c>
      <c r="C354" s="28" t="s">
        <v>4582</v>
      </c>
      <c r="D354" s="28" t="s">
        <v>4681</v>
      </c>
      <c r="E354" s="19" t="s">
        <v>508</v>
      </c>
      <c r="F354" s="28" t="s">
        <v>94</v>
      </c>
      <c r="G354" s="222" t="s">
        <v>3835</v>
      </c>
      <c r="H354" s="28" t="s">
        <v>608</v>
      </c>
      <c r="I354" s="6" t="s">
        <v>608</v>
      </c>
      <c r="J354" s="28" t="s">
        <v>608</v>
      </c>
      <c r="K354" s="224" t="n">
        <v>1</v>
      </c>
      <c r="L354" s="224" t="n">
        <v>1.5</v>
      </c>
      <c r="M354" s="28" t="s">
        <v>4674</v>
      </c>
      <c r="N354" s="19" t="s">
        <v>4675</v>
      </c>
      <c r="O354" s="6" t="s">
        <v>608</v>
      </c>
      <c r="P354" s="222" t="s">
        <v>1138</v>
      </c>
      <c r="Q354" s="183" t="n">
        <f aca="false">Calib!G68</f>
        <v>1</v>
      </c>
      <c r="R354" s="28" t="s">
        <v>608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3839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1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4682</v>
      </c>
      <c r="B355" s="222" t="s">
        <v>3833</v>
      </c>
      <c r="C355" s="28" t="s">
        <v>4582</v>
      </c>
      <c r="D355" s="28" t="s">
        <v>4683</v>
      </c>
      <c r="E355" s="6" t="s">
        <v>510</v>
      </c>
      <c r="F355" s="28" t="s">
        <v>3927</v>
      </c>
      <c r="G355" s="222" t="s">
        <v>3835</v>
      </c>
      <c r="H355" s="28" t="s">
        <v>608</v>
      </c>
      <c r="I355" s="19" t="s">
        <v>4684</v>
      </c>
      <c r="J355" s="28" t="s">
        <v>608</v>
      </c>
      <c r="K355" s="224"/>
      <c r="L355" s="224"/>
      <c r="M355" s="28" t="s">
        <v>608</v>
      </c>
      <c r="N355" s="228" t="s">
        <v>4685</v>
      </c>
      <c r="O355" s="6" t="s">
        <v>4686</v>
      </c>
      <c r="P355" s="222" t="s">
        <v>3894</v>
      </c>
      <c r="Q355" s="183" t="n">
        <f aca="false">Calib!C69</f>
        <v>0.499747347145023</v>
      </c>
      <c r="R355" s="28" t="s">
        <v>608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3872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1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4687</v>
      </c>
      <c r="B356" s="222" t="s">
        <v>3833</v>
      </c>
      <c r="C356" s="28" t="s">
        <v>4582</v>
      </c>
      <c r="D356" s="28" t="s">
        <v>4688</v>
      </c>
      <c r="E356" s="6" t="s">
        <v>510</v>
      </c>
      <c r="F356" s="28" t="s">
        <v>94</v>
      </c>
      <c r="G356" s="222" t="s">
        <v>3835</v>
      </c>
      <c r="H356" s="28" t="s">
        <v>608</v>
      </c>
      <c r="I356" s="6" t="s">
        <v>608</v>
      </c>
      <c r="J356" s="28" t="s">
        <v>608</v>
      </c>
      <c r="K356" s="224" t="n">
        <v>0.5</v>
      </c>
      <c r="L356" s="224" t="n">
        <v>1.5</v>
      </c>
      <c r="M356" s="28" t="s">
        <v>4689</v>
      </c>
      <c r="N356" s="6" t="s">
        <v>4690</v>
      </c>
      <c r="O356" s="6" t="s">
        <v>608</v>
      </c>
      <c r="P356" s="222" t="s">
        <v>3894</v>
      </c>
      <c r="Q356" s="183" t="n">
        <f aca="false">Calib!D69</f>
        <v>1</v>
      </c>
      <c r="R356" s="28" t="s">
        <v>608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3839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1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4691</v>
      </c>
      <c r="B357" s="222" t="s">
        <v>3833</v>
      </c>
      <c r="C357" s="28" t="s">
        <v>4582</v>
      </c>
      <c r="D357" s="28" t="s">
        <v>4692</v>
      </c>
      <c r="E357" s="6" t="s">
        <v>510</v>
      </c>
      <c r="F357" s="28" t="s">
        <v>94</v>
      </c>
      <c r="G357" s="222" t="s">
        <v>3835</v>
      </c>
      <c r="H357" s="28" t="s">
        <v>608</v>
      </c>
      <c r="I357" s="6" t="s">
        <v>608</v>
      </c>
      <c r="J357" s="28" t="s">
        <v>608</v>
      </c>
      <c r="K357" s="224" t="n">
        <v>0.5</v>
      </c>
      <c r="L357" s="224" t="n">
        <v>1.5</v>
      </c>
      <c r="M357" s="28" t="s">
        <v>4689</v>
      </c>
      <c r="N357" s="6" t="s">
        <v>4690</v>
      </c>
      <c r="O357" s="6" t="s">
        <v>608</v>
      </c>
      <c r="P357" s="222" t="s">
        <v>3894</v>
      </c>
      <c r="Q357" s="183" t="n">
        <f aca="false">Calib!E69</f>
        <v>1</v>
      </c>
      <c r="R357" s="28" t="s">
        <v>608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3839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1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4693</v>
      </c>
      <c r="B358" s="222" t="s">
        <v>3833</v>
      </c>
      <c r="C358" s="28" t="s">
        <v>4582</v>
      </c>
      <c r="D358" s="28" t="s">
        <v>4694</v>
      </c>
      <c r="E358" s="6" t="s">
        <v>510</v>
      </c>
      <c r="F358" s="28" t="s">
        <v>94</v>
      </c>
      <c r="G358" s="222" t="s">
        <v>3835</v>
      </c>
      <c r="H358" s="28" t="s">
        <v>608</v>
      </c>
      <c r="I358" s="6" t="s">
        <v>608</v>
      </c>
      <c r="J358" s="28" t="s">
        <v>608</v>
      </c>
      <c r="K358" s="224" t="n">
        <v>0.5</v>
      </c>
      <c r="L358" s="224" t="n">
        <v>1.5</v>
      </c>
      <c r="M358" s="28" t="s">
        <v>4689</v>
      </c>
      <c r="N358" s="6" t="s">
        <v>4695</v>
      </c>
      <c r="O358" s="6" t="s">
        <v>608</v>
      </c>
      <c r="P358" s="222" t="s">
        <v>1138</v>
      </c>
      <c r="Q358" s="183" t="n">
        <f aca="false">Calib!F69</f>
        <v>1</v>
      </c>
      <c r="R358" s="28" t="s">
        <v>608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3839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1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4696</v>
      </c>
      <c r="B359" s="222" t="s">
        <v>3833</v>
      </c>
      <c r="C359" s="28" t="s">
        <v>4582</v>
      </c>
      <c r="D359" s="28" t="s">
        <v>4697</v>
      </c>
      <c r="E359" s="6" t="s">
        <v>510</v>
      </c>
      <c r="F359" s="28" t="s">
        <v>94</v>
      </c>
      <c r="G359" s="222" t="s">
        <v>3835</v>
      </c>
      <c r="H359" s="28" t="s">
        <v>608</v>
      </c>
      <c r="I359" s="6" t="s">
        <v>608</v>
      </c>
      <c r="J359" s="28" t="s">
        <v>608</v>
      </c>
      <c r="K359" s="224" t="n">
        <v>0.5</v>
      </c>
      <c r="L359" s="224" t="n">
        <v>1.5</v>
      </c>
      <c r="M359" s="28" t="s">
        <v>4689</v>
      </c>
      <c r="N359" s="6" t="s">
        <v>4690</v>
      </c>
      <c r="O359" s="6" t="s">
        <v>608</v>
      </c>
      <c r="P359" s="222" t="s">
        <v>3894</v>
      </c>
      <c r="Q359" s="183" t="n">
        <f aca="false">Calib!G69</f>
        <v>1</v>
      </c>
      <c r="R359" s="28" t="s">
        <v>608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3839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1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4698</v>
      </c>
      <c r="B360" s="222" t="s">
        <v>3833</v>
      </c>
      <c r="C360" s="28" t="s">
        <v>4582</v>
      </c>
      <c r="D360" s="28" t="s">
        <v>4699</v>
      </c>
      <c r="E360" s="6" t="s">
        <v>536</v>
      </c>
      <c r="F360" s="222" t="s">
        <v>369</v>
      </c>
      <c r="G360" s="222" t="s">
        <v>4589</v>
      </c>
      <c r="H360" s="28" t="s">
        <v>608</v>
      </c>
      <c r="I360" s="6" t="s">
        <v>608</v>
      </c>
      <c r="J360" s="28" t="s">
        <v>608</v>
      </c>
      <c r="K360" s="222"/>
      <c r="L360" s="222"/>
      <c r="M360" s="28" t="s">
        <v>608</v>
      </c>
      <c r="N360" s="6" t="s">
        <v>4700</v>
      </c>
      <c r="O360" s="6" t="s">
        <v>608</v>
      </c>
      <c r="P360" s="28" t="s">
        <v>608</v>
      </c>
      <c r="Q360" s="175" t="s">
        <v>608</v>
      </c>
      <c r="R360" s="28" t="s">
        <v>608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28" t="s">
        <v>608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1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4701</v>
      </c>
      <c r="B361" s="222" t="s">
        <v>3833</v>
      </c>
      <c r="C361" s="28" t="s">
        <v>4582</v>
      </c>
      <c r="D361" s="28" t="s">
        <v>4702</v>
      </c>
      <c r="E361" s="19" t="s">
        <v>257</v>
      </c>
      <c r="F361" s="222" t="s">
        <v>319</v>
      </c>
      <c r="G361" s="222" t="s">
        <v>3835</v>
      </c>
      <c r="H361" s="28" t="s">
        <v>4703</v>
      </c>
      <c r="I361" s="19" t="s">
        <v>3870</v>
      </c>
      <c r="J361" s="28" t="s">
        <v>608</v>
      </c>
      <c r="K361" s="222"/>
      <c r="L361" s="222"/>
      <c r="M361" s="28" t="s">
        <v>608</v>
      </c>
      <c r="N361" s="19" t="s">
        <v>3973</v>
      </c>
      <c r="O361" s="6" t="s">
        <v>608</v>
      </c>
      <c r="P361" s="222" t="s">
        <v>3838</v>
      </c>
      <c r="Q361" s="46" t="n">
        <f aca="false">Calib!C100</f>
        <v>671</v>
      </c>
      <c r="R361" s="175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3872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1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4704</v>
      </c>
      <c r="B362" s="222" t="s">
        <v>3833</v>
      </c>
      <c r="C362" s="28" t="s">
        <v>4582</v>
      </c>
      <c r="D362" s="28" t="s">
        <v>4705</v>
      </c>
      <c r="E362" s="19" t="s">
        <v>261</v>
      </c>
      <c r="F362" s="222" t="s">
        <v>319</v>
      </c>
      <c r="G362" s="222" t="s">
        <v>3835</v>
      </c>
      <c r="H362" s="28" t="s">
        <v>4706</v>
      </c>
      <c r="I362" s="19" t="s">
        <v>3870</v>
      </c>
      <c r="J362" s="28" t="s">
        <v>608</v>
      </c>
      <c r="K362" s="222"/>
      <c r="L362" s="222"/>
      <c r="M362" s="28" t="s">
        <v>608</v>
      </c>
      <c r="N362" s="19" t="s">
        <v>3973</v>
      </c>
      <c r="O362" s="6" t="s">
        <v>608</v>
      </c>
      <c r="P362" s="222" t="s">
        <v>3838</v>
      </c>
      <c r="Q362" s="46" t="n">
        <f aca="false">Calib!C101</f>
        <v>37</v>
      </c>
      <c r="R362" s="175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3872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1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4707</v>
      </c>
      <c r="B363" s="222" t="s">
        <v>3833</v>
      </c>
      <c r="C363" s="28" t="s">
        <v>4582</v>
      </c>
      <c r="D363" s="28" t="s">
        <v>4708</v>
      </c>
      <c r="E363" s="19" t="s">
        <v>263</v>
      </c>
      <c r="F363" s="222" t="s">
        <v>319</v>
      </c>
      <c r="G363" s="222" t="s">
        <v>3835</v>
      </c>
      <c r="H363" s="28" t="s">
        <v>4709</v>
      </c>
      <c r="I363" s="19" t="s">
        <v>3870</v>
      </c>
      <c r="J363" s="28" t="s">
        <v>608</v>
      </c>
      <c r="K363" s="222"/>
      <c r="L363" s="222"/>
      <c r="M363" s="28" t="s">
        <v>608</v>
      </c>
      <c r="N363" s="19" t="s">
        <v>3973</v>
      </c>
      <c r="O363" s="6" t="s">
        <v>608</v>
      </c>
      <c r="P363" s="222" t="s">
        <v>3838</v>
      </c>
      <c r="Q363" s="46" t="n">
        <f aca="false">Calib!C102</f>
        <v>61</v>
      </c>
      <c r="R363" s="175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3872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1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4710</v>
      </c>
      <c r="B364" s="222" t="s">
        <v>3833</v>
      </c>
      <c r="C364" s="28" t="s">
        <v>4582</v>
      </c>
      <c r="D364" s="28" t="s">
        <v>4711</v>
      </c>
      <c r="E364" s="6" t="s">
        <v>266</v>
      </c>
      <c r="F364" s="222" t="s">
        <v>319</v>
      </c>
      <c r="G364" s="222" t="s">
        <v>3835</v>
      </c>
      <c r="H364" s="28" t="s">
        <v>4712</v>
      </c>
      <c r="I364" s="19" t="s">
        <v>3870</v>
      </c>
      <c r="J364" s="28" t="s">
        <v>608</v>
      </c>
      <c r="K364" s="222"/>
      <c r="L364" s="222"/>
      <c r="M364" s="28" t="s">
        <v>608</v>
      </c>
      <c r="N364" s="19" t="s">
        <v>3973</v>
      </c>
      <c r="O364" s="6" t="s">
        <v>608</v>
      </c>
      <c r="P364" s="222" t="s">
        <v>3838</v>
      </c>
      <c r="Q364" s="46" t="n">
        <f aca="false">Calib!C103</f>
        <v>7168</v>
      </c>
      <c r="R364" s="175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3872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1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4713</v>
      </c>
      <c r="B365" s="222" t="s">
        <v>3833</v>
      </c>
      <c r="C365" s="28" t="s">
        <v>4582</v>
      </c>
      <c r="D365" s="28" t="s">
        <v>4714</v>
      </c>
      <c r="E365" s="6" t="s">
        <v>272</v>
      </c>
      <c r="F365" s="222" t="s">
        <v>319</v>
      </c>
      <c r="G365" s="222" t="s">
        <v>3835</v>
      </c>
      <c r="H365" s="28" t="s">
        <v>4715</v>
      </c>
      <c r="I365" s="19" t="s">
        <v>3870</v>
      </c>
      <c r="J365" s="28" t="s">
        <v>608</v>
      </c>
      <c r="K365" s="222"/>
      <c r="L365" s="222"/>
      <c r="M365" s="28" t="s">
        <v>608</v>
      </c>
      <c r="N365" s="19" t="s">
        <v>3973</v>
      </c>
      <c r="O365" s="6" t="s">
        <v>608</v>
      </c>
      <c r="P365" s="222" t="s">
        <v>3838</v>
      </c>
      <c r="Q365" s="46" t="n">
        <f aca="false">Calib!C104</f>
        <v>256</v>
      </c>
      <c r="R365" s="175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3872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1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4716</v>
      </c>
      <c r="B366" s="222" t="s">
        <v>3833</v>
      </c>
      <c r="C366" s="28" t="s">
        <v>4582</v>
      </c>
      <c r="D366" s="28" t="s">
        <v>4717</v>
      </c>
      <c r="E366" s="19" t="s">
        <v>4718</v>
      </c>
      <c r="F366" s="222" t="s">
        <v>319</v>
      </c>
      <c r="G366" s="222" t="s">
        <v>3835</v>
      </c>
      <c r="H366" s="28" t="s">
        <v>4719</v>
      </c>
      <c r="I366" s="19" t="s">
        <v>3870</v>
      </c>
      <c r="J366" s="28" t="s">
        <v>608</v>
      </c>
      <c r="K366" s="222"/>
      <c r="L366" s="222"/>
      <c r="M366" s="28" t="s">
        <v>608</v>
      </c>
      <c r="N366" s="19" t="s">
        <v>3973</v>
      </c>
      <c r="O366" s="6" t="s">
        <v>608</v>
      </c>
      <c r="P366" s="222" t="s">
        <v>3838</v>
      </c>
      <c r="Q366" s="46" t="n">
        <f aca="false">Calib!C105</f>
        <v>8</v>
      </c>
      <c r="R366" s="175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3872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1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4720</v>
      </c>
      <c r="B367" s="222" t="s">
        <v>3833</v>
      </c>
      <c r="C367" s="28" t="s">
        <v>4582</v>
      </c>
      <c r="D367" s="28" t="s">
        <v>4721</v>
      </c>
      <c r="E367" s="6" t="s">
        <v>274</v>
      </c>
      <c r="F367" s="222" t="s">
        <v>319</v>
      </c>
      <c r="G367" s="222" t="s">
        <v>3835</v>
      </c>
      <c r="H367" s="28" t="s">
        <v>4722</v>
      </c>
      <c r="I367" s="19" t="s">
        <v>3870</v>
      </c>
      <c r="J367" s="28" t="s">
        <v>608</v>
      </c>
      <c r="K367" s="222"/>
      <c r="L367" s="222"/>
      <c r="M367" s="28" t="s">
        <v>608</v>
      </c>
      <c r="N367" s="19" t="s">
        <v>3973</v>
      </c>
      <c r="O367" s="6" t="s">
        <v>608</v>
      </c>
      <c r="P367" s="222" t="s">
        <v>3838</v>
      </c>
      <c r="Q367" s="46" t="n">
        <f aca="false">Calib!C106</f>
        <v>1</v>
      </c>
      <c r="R367" s="175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3872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1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4723</v>
      </c>
      <c r="B368" s="222" t="s">
        <v>3833</v>
      </c>
      <c r="C368" s="28" t="s">
        <v>4582</v>
      </c>
      <c r="D368" s="28" t="s">
        <v>4724</v>
      </c>
      <c r="E368" s="6" t="s">
        <v>275</v>
      </c>
      <c r="F368" s="222" t="s">
        <v>319</v>
      </c>
      <c r="G368" s="222" t="s">
        <v>3835</v>
      </c>
      <c r="H368" s="28" t="s">
        <v>4725</v>
      </c>
      <c r="I368" s="19" t="s">
        <v>3870</v>
      </c>
      <c r="J368" s="28" t="s">
        <v>608</v>
      </c>
      <c r="K368" s="222"/>
      <c r="L368" s="222"/>
      <c r="M368" s="28" t="s">
        <v>608</v>
      </c>
      <c r="N368" s="19" t="s">
        <v>3973</v>
      </c>
      <c r="O368" s="6" t="s">
        <v>608</v>
      </c>
      <c r="P368" s="222" t="s">
        <v>3838</v>
      </c>
      <c r="Q368" s="46" t="n">
        <f aca="false">Calib!C107</f>
        <v>129280</v>
      </c>
      <c r="R368" s="175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3872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1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4726</v>
      </c>
      <c r="B369" s="222" t="s">
        <v>3833</v>
      </c>
      <c r="C369" s="28" t="s">
        <v>4582</v>
      </c>
      <c r="D369" s="28" t="s">
        <v>4727</v>
      </c>
      <c r="E369" s="6" t="s">
        <v>547</v>
      </c>
      <c r="F369" s="222" t="s">
        <v>319</v>
      </c>
      <c r="G369" s="222" t="s">
        <v>3835</v>
      </c>
      <c r="H369" s="28" t="s">
        <v>4728</v>
      </c>
      <c r="I369" s="19" t="s">
        <v>4178</v>
      </c>
      <c r="J369" s="28" t="s">
        <v>608</v>
      </c>
      <c r="K369" s="222"/>
      <c r="L369" s="222"/>
      <c r="M369" s="28" t="s">
        <v>608</v>
      </c>
      <c r="N369" s="19" t="s">
        <v>3973</v>
      </c>
      <c r="O369" s="6" t="s">
        <v>608</v>
      </c>
      <c r="P369" s="222" t="s">
        <v>3838</v>
      </c>
      <c r="Q369" s="46" t="n">
        <f aca="false">Calib!C108</f>
        <v>35136</v>
      </c>
      <c r="R369" s="175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3872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1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4729</v>
      </c>
      <c r="B370" s="222" t="s">
        <v>3833</v>
      </c>
      <c r="C370" s="28" t="s">
        <v>4582</v>
      </c>
      <c r="D370" s="28" t="s">
        <v>4730</v>
      </c>
      <c r="E370" s="19" t="s">
        <v>4731</v>
      </c>
      <c r="F370" s="222" t="s">
        <v>319</v>
      </c>
      <c r="G370" s="222" t="s">
        <v>3835</v>
      </c>
      <c r="H370" s="28" t="s">
        <v>4732</v>
      </c>
      <c r="I370" s="19" t="s">
        <v>4178</v>
      </c>
      <c r="J370" s="28" t="s">
        <v>608</v>
      </c>
      <c r="K370" s="222"/>
      <c r="L370" s="222"/>
      <c r="M370" s="28" t="s">
        <v>608</v>
      </c>
      <c r="N370" s="19" t="s">
        <v>3973</v>
      </c>
      <c r="O370" s="6" t="s">
        <v>608</v>
      </c>
      <c r="P370" s="222" t="s">
        <v>3838</v>
      </c>
      <c r="Q370" s="46" t="n">
        <f aca="false">Calib!C109</f>
        <v>4997120</v>
      </c>
      <c r="R370" s="175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3872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1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4733</v>
      </c>
      <c r="B371" s="222" t="s">
        <v>3833</v>
      </c>
      <c r="C371" s="28" t="s">
        <v>4582</v>
      </c>
      <c r="D371" s="28" t="s">
        <v>4734</v>
      </c>
      <c r="E371" s="19" t="s">
        <v>4735</v>
      </c>
      <c r="F371" s="222" t="s">
        <v>319</v>
      </c>
      <c r="G371" s="222" t="s">
        <v>3835</v>
      </c>
      <c r="H371" s="28" t="s">
        <v>4736</v>
      </c>
      <c r="I371" s="19" t="s">
        <v>3870</v>
      </c>
      <c r="J371" s="28" t="s">
        <v>608</v>
      </c>
      <c r="K371" s="222"/>
      <c r="L371" s="222"/>
      <c r="M371" s="28" t="s">
        <v>608</v>
      </c>
      <c r="N371" s="19" t="s">
        <v>3973</v>
      </c>
      <c r="O371" s="6" t="s">
        <v>608</v>
      </c>
      <c r="P371" s="222" t="s">
        <v>3838</v>
      </c>
      <c r="Q371" s="46" t="n">
        <f aca="false">Calib!C110</f>
        <v>800</v>
      </c>
      <c r="R371" s="175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3872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1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4737</v>
      </c>
      <c r="B372" s="222" t="s">
        <v>3833</v>
      </c>
      <c r="C372" s="28" t="s">
        <v>4582</v>
      </c>
      <c r="D372" s="28" t="s">
        <v>4738</v>
      </c>
      <c r="E372" s="19" t="s">
        <v>4739</v>
      </c>
      <c r="F372" s="222" t="s">
        <v>319</v>
      </c>
      <c r="G372" s="222" t="s">
        <v>3835</v>
      </c>
      <c r="H372" s="28" t="s">
        <v>4740</v>
      </c>
      <c r="I372" s="19" t="s">
        <v>3870</v>
      </c>
      <c r="J372" s="28" t="s">
        <v>608</v>
      </c>
      <c r="K372" s="222"/>
      <c r="L372" s="222"/>
      <c r="M372" s="28" t="s">
        <v>608</v>
      </c>
      <c r="N372" s="19" t="s">
        <v>3973</v>
      </c>
      <c r="O372" s="6" t="s">
        <v>608</v>
      </c>
      <c r="P372" s="222" t="s">
        <v>3838</v>
      </c>
      <c r="Q372" s="46" t="n">
        <f aca="false">Calib!C111</f>
        <v>3880</v>
      </c>
      <c r="R372" s="175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3872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1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4741</v>
      </c>
      <c r="B373" s="222" t="s">
        <v>3833</v>
      </c>
      <c r="C373" s="28" t="s">
        <v>4582</v>
      </c>
      <c r="D373" s="28" t="s">
        <v>4742</v>
      </c>
      <c r="E373" s="19" t="s">
        <v>440</v>
      </c>
      <c r="F373" s="222" t="s">
        <v>4588</v>
      </c>
      <c r="G373" s="222" t="s">
        <v>4589</v>
      </c>
      <c r="H373" s="28" t="s">
        <v>608</v>
      </c>
      <c r="I373" s="6" t="s">
        <v>608</v>
      </c>
      <c r="J373" s="28" t="s">
        <v>608</v>
      </c>
      <c r="K373" s="222"/>
      <c r="L373" s="222"/>
      <c r="M373" s="28" t="s">
        <v>608</v>
      </c>
      <c r="N373" s="6" t="s">
        <v>4743</v>
      </c>
      <c r="O373" s="6" t="s">
        <v>608</v>
      </c>
      <c r="P373" s="28" t="s">
        <v>608</v>
      </c>
      <c r="Q373" s="175" t="s">
        <v>608</v>
      </c>
      <c r="R373" s="28" t="s">
        <v>608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28" t="s">
        <v>608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1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4744</v>
      </c>
      <c r="B374" s="222" t="s">
        <v>3833</v>
      </c>
      <c r="C374" s="28" t="s">
        <v>4582</v>
      </c>
      <c r="D374" s="28" t="s">
        <v>4745</v>
      </c>
      <c r="E374" s="19" t="s">
        <v>4746</v>
      </c>
      <c r="F374" s="222" t="s">
        <v>319</v>
      </c>
      <c r="G374" s="222" t="s">
        <v>3835</v>
      </c>
      <c r="H374" s="28" t="s">
        <v>4747</v>
      </c>
      <c r="I374" s="19" t="s">
        <v>4178</v>
      </c>
      <c r="J374" s="28" t="s">
        <v>608</v>
      </c>
      <c r="K374" s="222"/>
      <c r="L374" s="222"/>
      <c r="M374" s="28" t="s">
        <v>608</v>
      </c>
      <c r="N374" s="19" t="s">
        <v>3973</v>
      </c>
      <c r="O374" s="6" t="s">
        <v>608</v>
      </c>
      <c r="P374" s="222" t="s">
        <v>3838</v>
      </c>
      <c r="Q374" s="186" t="n">
        <f aca="false">Calib!C118</f>
        <v>66.6666666666667</v>
      </c>
      <c r="R374" s="175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3872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1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4748</v>
      </c>
      <c r="B375" s="222" t="s">
        <v>3833</v>
      </c>
      <c r="C375" s="28" t="s">
        <v>4582</v>
      </c>
      <c r="D375" s="28" t="s">
        <v>4749</v>
      </c>
      <c r="E375" s="19" t="s">
        <v>4746</v>
      </c>
      <c r="F375" s="222" t="s">
        <v>319</v>
      </c>
      <c r="G375" s="222" t="s">
        <v>3835</v>
      </c>
      <c r="H375" s="28" t="s">
        <v>4747</v>
      </c>
      <c r="I375" s="19" t="s">
        <v>4178</v>
      </c>
      <c r="J375" s="28" t="s">
        <v>608</v>
      </c>
      <c r="K375" s="222"/>
      <c r="L375" s="222"/>
      <c r="M375" s="28" t="s">
        <v>608</v>
      </c>
      <c r="N375" s="19" t="s">
        <v>3973</v>
      </c>
      <c r="O375" s="6" t="s">
        <v>608</v>
      </c>
      <c r="P375" s="222" t="s">
        <v>3838</v>
      </c>
      <c r="Q375" s="186" t="n">
        <f aca="false">Calib!D118</f>
        <v>66.6666666666667</v>
      </c>
      <c r="R375" s="175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3872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1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4750</v>
      </c>
      <c r="B376" s="222" t="s">
        <v>3833</v>
      </c>
      <c r="C376" s="28" t="s">
        <v>4582</v>
      </c>
      <c r="D376" s="28" t="s">
        <v>4751</v>
      </c>
      <c r="E376" s="19" t="s">
        <v>4746</v>
      </c>
      <c r="F376" s="222" t="s">
        <v>319</v>
      </c>
      <c r="G376" s="222" t="s">
        <v>3835</v>
      </c>
      <c r="H376" s="28" t="s">
        <v>4747</v>
      </c>
      <c r="I376" s="19" t="s">
        <v>4178</v>
      </c>
      <c r="J376" s="28" t="s">
        <v>608</v>
      </c>
      <c r="K376" s="222"/>
      <c r="L376" s="222"/>
      <c r="M376" s="28" t="s">
        <v>608</v>
      </c>
      <c r="N376" s="19" t="s">
        <v>3973</v>
      </c>
      <c r="O376" s="6" t="s">
        <v>608</v>
      </c>
      <c r="P376" s="222" t="s">
        <v>3838</v>
      </c>
      <c r="Q376" s="186" t="n">
        <f aca="false">Calib!E118</f>
        <v>66.6666666666667</v>
      </c>
      <c r="R376" s="175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3872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1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4752</v>
      </c>
      <c r="B377" s="222" t="s">
        <v>3833</v>
      </c>
      <c r="C377" s="28" t="s">
        <v>4582</v>
      </c>
      <c r="D377" s="28" t="s">
        <v>4753</v>
      </c>
      <c r="E377" s="19" t="s">
        <v>4746</v>
      </c>
      <c r="F377" s="222" t="s">
        <v>319</v>
      </c>
      <c r="G377" s="222" t="s">
        <v>3835</v>
      </c>
      <c r="H377" s="28" t="s">
        <v>4754</v>
      </c>
      <c r="I377" s="19" t="s">
        <v>4178</v>
      </c>
      <c r="J377" s="28" t="s">
        <v>608</v>
      </c>
      <c r="K377" s="222"/>
      <c r="L377" s="222"/>
      <c r="M377" s="28" t="s">
        <v>608</v>
      </c>
      <c r="N377" s="19" t="s">
        <v>3973</v>
      </c>
      <c r="O377" s="6" t="s">
        <v>608</v>
      </c>
      <c r="P377" s="222" t="s">
        <v>3838</v>
      </c>
      <c r="Q377" s="186" t="n">
        <f aca="false">Calib!F118</f>
        <v>12.5</v>
      </c>
      <c r="R377" s="175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3872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1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4755</v>
      </c>
      <c r="B378" s="222" t="s">
        <v>3833</v>
      </c>
      <c r="C378" s="28" t="s">
        <v>4582</v>
      </c>
      <c r="D378" s="28" t="s">
        <v>4756</v>
      </c>
      <c r="E378" s="19" t="s">
        <v>4757</v>
      </c>
      <c r="F378" s="222" t="s">
        <v>4026</v>
      </c>
      <c r="G378" s="222" t="s">
        <v>3835</v>
      </c>
      <c r="H378" s="28" t="s">
        <v>4432</v>
      </c>
      <c r="I378" s="19" t="s">
        <v>4758</v>
      </c>
      <c r="J378" s="28" t="s">
        <v>608</v>
      </c>
      <c r="K378" s="222"/>
      <c r="L378" s="222"/>
      <c r="M378" s="28" t="s">
        <v>608</v>
      </c>
      <c r="N378" s="19" t="s">
        <v>4759</v>
      </c>
      <c r="O378" s="6" t="s">
        <v>608</v>
      </c>
      <c r="P378" s="222" t="s">
        <v>3838</v>
      </c>
      <c r="Q378" s="31" t="n">
        <f aca="false">Calib!C119</f>
        <v>1</v>
      </c>
      <c r="R378" s="175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3839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1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4760</v>
      </c>
      <c r="B379" s="222" t="s">
        <v>3833</v>
      </c>
      <c r="C379" s="28" t="s">
        <v>4582</v>
      </c>
      <c r="D379" s="28" t="s">
        <v>4761</v>
      </c>
      <c r="E379" s="19" t="s">
        <v>4757</v>
      </c>
      <c r="F379" s="222" t="s">
        <v>4026</v>
      </c>
      <c r="G379" s="222" t="s">
        <v>3835</v>
      </c>
      <c r="H379" s="28" t="s">
        <v>4432</v>
      </c>
      <c r="I379" s="19" t="s">
        <v>4758</v>
      </c>
      <c r="J379" s="28" t="s">
        <v>608</v>
      </c>
      <c r="K379" s="222"/>
      <c r="L379" s="222"/>
      <c r="M379" s="28" t="s">
        <v>608</v>
      </c>
      <c r="N379" s="19" t="s">
        <v>4759</v>
      </c>
      <c r="O379" s="6" t="s">
        <v>608</v>
      </c>
      <c r="P379" s="222" t="s">
        <v>3838</v>
      </c>
      <c r="Q379" s="31" t="n">
        <f aca="false">Calib!D119</f>
        <v>1</v>
      </c>
      <c r="R379" s="175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3839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1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4762</v>
      </c>
      <c r="B380" s="222" t="s">
        <v>3833</v>
      </c>
      <c r="C380" s="28" t="s">
        <v>4582</v>
      </c>
      <c r="D380" s="28" t="s">
        <v>4763</v>
      </c>
      <c r="E380" s="19" t="s">
        <v>4757</v>
      </c>
      <c r="F380" s="222" t="s">
        <v>4026</v>
      </c>
      <c r="G380" s="222" t="s">
        <v>3835</v>
      </c>
      <c r="H380" s="28" t="s">
        <v>4432</v>
      </c>
      <c r="I380" s="19" t="s">
        <v>4758</v>
      </c>
      <c r="J380" s="28" t="s">
        <v>608</v>
      </c>
      <c r="K380" s="222"/>
      <c r="L380" s="222"/>
      <c r="M380" s="28" t="s">
        <v>608</v>
      </c>
      <c r="N380" s="19" t="s">
        <v>4759</v>
      </c>
      <c r="O380" s="6" t="s">
        <v>608</v>
      </c>
      <c r="P380" s="222" t="s">
        <v>3838</v>
      </c>
      <c r="Q380" s="31" t="n">
        <f aca="false">Calib!E119</f>
        <v>1</v>
      </c>
      <c r="R380" s="175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3839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1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4764</v>
      </c>
      <c r="B381" s="222" t="s">
        <v>3833</v>
      </c>
      <c r="C381" s="28" t="s">
        <v>4582</v>
      </c>
      <c r="D381" s="28" t="s">
        <v>4765</v>
      </c>
      <c r="E381" s="19" t="s">
        <v>4757</v>
      </c>
      <c r="F381" s="222" t="s">
        <v>4026</v>
      </c>
      <c r="G381" s="222" t="s">
        <v>3835</v>
      </c>
      <c r="H381" s="28" t="s">
        <v>4432</v>
      </c>
      <c r="I381" s="19" t="s">
        <v>4766</v>
      </c>
      <c r="J381" s="28" t="s">
        <v>608</v>
      </c>
      <c r="K381" s="222"/>
      <c r="L381" s="222"/>
      <c r="M381" s="28" t="s">
        <v>608</v>
      </c>
      <c r="N381" s="19" t="s">
        <v>4767</v>
      </c>
      <c r="O381" s="6" t="s">
        <v>608</v>
      </c>
      <c r="P381" s="222" t="s">
        <v>3838</v>
      </c>
      <c r="Q381" s="31" t="n">
        <f aca="false">Calib!F119</f>
        <v>0</v>
      </c>
      <c r="R381" s="175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3839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1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4768</v>
      </c>
      <c r="B382" s="222" t="s">
        <v>3833</v>
      </c>
      <c r="C382" s="28" t="s">
        <v>4582</v>
      </c>
      <c r="D382" s="28" t="s">
        <v>4769</v>
      </c>
      <c r="E382" s="6" t="s">
        <v>559</v>
      </c>
      <c r="F382" s="222" t="s">
        <v>319</v>
      </c>
      <c r="G382" s="222" t="s">
        <v>3835</v>
      </c>
      <c r="H382" s="28" t="s">
        <v>4770</v>
      </c>
      <c r="I382" s="19" t="s">
        <v>4178</v>
      </c>
      <c r="J382" s="28" t="s">
        <v>608</v>
      </c>
      <c r="K382" s="222"/>
      <c r="L382" s="222"/>
      <c r="M382" s="28" t="s">
        <v>608</v>
      </c>
      <c r="N382" s="19" t="s">
        <v>3973</v>
      </c>
      <c r="O382" s="6" t="s">
        <v>608</v>
      </c>
      <c r="P382" s="222" t="s">
        <v>3838</v>
      </c>
      <c r="Q382" s="46" t="n">
        <f aca="false">Calib!C120</f>
        <v>3520.91666666667</v>
      </c>
      <c r="R382" s="175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3872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1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4771</v>
      </c>
      <c r="B383" s="222" t="s">
        <v>3833</v>
      </c>
      <c r="C383" s="28" t="s">
        <v>4582</v>
      </c>
      <c r="D383" s="28" t="s">
        <v>4772</v>
      </c>
      <c r="E383" s="6" t="s">
        <v>559</v>
      </c>
      <c r="F383" s="222" t="s">
        <v>319</v>
      </c>
      <c r="G383" s="222" t="s">
        <v>3835</v>
      </c>
      <c r="H383" s="28" t="s">
        <v>4773</v>
      </c>
      <c r="I383" s="19" t="s">
        <v>4178</v>
      </c>
      <c r="J383" s="28" t="s">
        <v>608</v>
      </c>
      <c r="K383" s="222"/>
      <c r="L383" s="222"/>
      <c r="M383" s="28" t="s">
        <v>608</v>
      </c>
      <c r="N383" s="19" t="s">
        <v>3973</v>
      </c>
      <c r="O383" s="6" t="s">
        <v>608</v>
      </c>
      <c r="P383" s="222" t="s">
        <v>3838</v>
      </c>
      <c r="Q383" s="46" t="n">
        <f aca="false">Calib!D120</f>
        <v>3337.75</v>
      </c>
      <c r="R383" s="175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3872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1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4774</v>
      </c>
      <c r="B384" s="222" t="s">
        <v>3833</v>
      </c>
      <c r="C384" s="28" t="s">
        <v>4582</v>
      </c>
      <c r="D384" s="28" t="s">
        <v>4775</v>
      </c>
      <c r="E384" s="6" t="s">
        <v>559</v>
      </c>
      <c r="F384" s="222" t="s">
        <v>319</v>
      </c>
      <c r="G384" s="222" t="s">
        <v>3835</v>
      </c>
      <c r="H384" s="28" t="s">
        <v>4776</v>
      </c>
      <c r="I384" s="19" t="s">
        <v>4178</v>
      </c>
      <c r="J384" s="28" t="s">
        <v>608</v>
      </c>
      <c r="K384" s="222"/>
      <c r="L384" s="222"/>
      <c r="M384" s="28" t="s">
        <v>608</v>
      </c>
      <c r="N384" s="19" t="s">
        <v>3973</v>
      </c>
      <c r="O384" s="6" t="s">
        <v>608</v>
      </c>
      <c r="P384" s="222" t="s">
        <v>3838</v>
      </c>
      <c r="Q384" s="46" t="n">
        <f aca="false">Calib!E120</f>
        <v>9065.97222222222</v>
      </c>
      <c r="R384" s="175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3872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1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4777</v>
      </c>
      <c r="B385" s="222" t="s">
        <v>3833</v>
      </c>
      <c r="C385" s="28" t="s">
        <v>4582</v>
      </c>
      <c r="D385" s="28" t="s">
        <v>4778</v>
      </c>
      <c r="E385" s="6" t="s">
        <v>559</v>
      </c>
      <c r="F385" s="222" t="s">
        <v>319</v>
      </c>
      <c r="G385" s="222" t="s">
        <v>3835</v>
      </c>
      <c r="H385" s="28" t="s">
        <v>4779</v>
      </c>
      <c r="I385" s="19" t="s">
        <v>3870</v>
      </c>
      <c r="J385" s="28" t="s">
        <v>608</v>
      </c>
      <c r="K385" s="222"/>
      <c r="L385" s="222"/>
      <c r="M385" s="28" t="s">
        <v>608</v>
      </c>
      <c r="N385" s="19" t="s">
        <v>3973</v>
      </c>
      <c r="O385" s="6" t="s">
        <v>608</v>
      </c>
      <c r="P385" s="222" t="s">
        <v>3838</v>
      </c>
      <c r="Q385" s="46" t="n">
        <f aca="false">Calib!F120</f>
        <v>8064</v>
      </c>
      <c r="R385" s="175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3872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1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4780</v>
      </c>
      <c r="B386" s="222" t="s">
        <v>3833</v>
      </c>
      <c r="C386" s="28" t="s">
        <v>4781</v>
      </c>
      <c r="D386" s="28" t="s">
        <v>4494</v>
      </c>
      <c r="E386" s="6" t="s">
        <v>3418</v>
      </c>
      <c r="F386" s="28" t="s">
        <v>94</v>
      </c>
      <c r="G386" s="222" t="s">
        <v>3835</v>
      </c>
      <c r="H386" s="28" t="s">
        <v>608</v>
      </c>
      <c r="I386" s="6" t="s">
        <v>608</v>
      </c>
      <c r="J386" s="28" t="s">
        <v>608</v>
      </c>
      <c r="K386" s="224" t="n">
        <v>0.4</v>
      </c>
      <c r="L386" s="224" t="n">
        <v>0.8</v>
      </c>
      <c r="M386" s="28" t="s">
        <v>4782</v>
      </c>
      <c r="N386" s="223" t="str">
        <f aca="false">Energy!$F$5</f>
        <v>Assumed：pJ/FLOP＝GPU 功率 × 此比例 ÷ 峰值（滿載上限口徑），區間 0.4–0.8</v>
      </c>
      <c r="O386" s="6" t="s">
        <v>608</v>
      </c>
      <c r="P386" s="222" t="s">
        <v>3838</v>
      </c>
      <c r="Q386" s="185" t="n">
        <f aca="false">Energy!C5</f>
        <v>0.6</v>
      </c>
      <c r="R386" s="28" t="s">
        <v>608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3839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1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4783</v>
      </c>
      <c r="B387" s="222" t="s">
        <v>3833</v>
      </c>
      <c r="C387" s="28" t="s">
        <v>4781</v>
      </c>
      <c r="D387" s="28" t="s">
        <v>3998</v>
      </c>
      <c r="E387" s="6" t="s">
        <v>3420</v>
      </c>
      <c r="F387" s="28" t="s">
        <v>98</v>
      </c>
      <c r="G387" s="222" t="s">
        <v>3835</v>
      </c>
      <c r="H387" s="28" t="s">
        <v>4784</v>
      </c>
      <c r="I387" s="19" t="s">
        <v>4785</v>
      </c>
      <c r="J387" s="28" t="s">
        <v>608</v>
      </c>
      <c r="K387" s="224" t="n">
        <v>5</v>
      </c>
      <c r="L387" s="224" t="n">
        <v>20</v>
      </c>
      <c r="M387" s="28" t="s">
        <v>4786</v>
      </c>
      <c r="N387" s="223" t="str">
        <f aca="false">Energy!$F$6</f>
        <v>Analogy：SerDes＋交換約 1–2 pJ/bit；區間 5–20</v>
      </c>
      <c r="O387" s="6" t="s">
        <v>608</v>
      </c>
      <c r="P387" s="222" t="s">
        <v>3838</v>
      </c>
      <c r="Q387" s="31" t="n">
        <f aca="false">Energy!C6</f>
        <v>10</v>
      </c>
      <c r="R387" s="175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3839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1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4787</v>
      </c>
      <c r="B388" s="222" t="s">
        <v>3833</v>
      </c>
      <c r="C388" s="28" t="s">
        <v>4781</v>
      </c>
      <c r="D388" s="28" t="s">
        <v>4325</v>
      </c>
      <c r="E388" s="6" t="s">
        <v>3423</v>
      </c>
      <c r="F388" s="28" t="s">
        <v>94</v>
      </c>
      <c r="G388" s="222" t="s">
        <v>3835</v>
      </c>
      <c r="H388" s="28" t="s">
        <v>608</v>
      </c>
      <c r="I388" s="6" t="s">
        <v>608</v>
      </c>
      <c r="J388" s="28" t="s">
        <v>608</v>
      </c>
      <c r="K388" s="224" t="n">
        <v>20</v>
      </c>
      <c r="L388" s="224" t="n">
        <v>80</v>
      </c>
      <c r="M388" s="28" t="s">
        <v>4788</v>
      </c>
      <c r="N388" s="223" t="str">
        <f aca="false">Energy!$F$7</f>
        <v>Analogy：含光模組與網卡；區間 20–80</v>
      </c>
      <c r="O388" s="6" t="s">
        <v>4233</v>
      </c>
      <c r="P388" s="222" t="s">
        <v>3838</v>
      </c>
      <c r="Q388" s="31" t="n">
        <f aca="false">Energy!C7</f>
        <v>40</v>
      </c>
      <c r="R388" s="28" t="s">
        <v>608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3839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1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4789</v>
      </c>
      <c r="B389" s="222" t="s">
        <v>3833</v>
      </c>
      <c r="C389" s="28" t="s">
        <v>4790</v>
      </c>
      <c r="D389" s="28" t="s">
        <v>4494</v>
      </c>
      <c r="E389" s="6" t="s">
        <v>3437</v>
      </c>
      <c r="F389" s="28" t="s">
        <v>94</v>
      </c>
      <c r="G389" s="222" t="s">
        <v>79</v>
      </c>
      <c r="H389" s="28" t="s">
        <v>608</v>
      </c>
      <c r="I389" s="6" t="s">
        <v>608</v>
      </c>
      <c r="J389" s="28" t="s">
        <v>608</v>
      </c>
      <c r="K389" s="183" t="n">
        <f aca="false">NonNV!B5</f>
        <v>0.5</v>
      </c>
      <c r="L389" s="183" t="n">
        <f aca="false">NonNV!D5</f>
        <v>1</v>
      </c>
      <c r="M389" s="28" t="s">
        <v>608</v>
      </c>
      <c r="N389" s="223" t="str">
        <f aca="false">NonNV!$L$5</f>
        <v>MI355X 在 V4-Pro 上 26 天內吞吐提升 110 倍（S20 所屬部落格），軟體成熟度為主要不確定</v>
      </c>
      <c r="O389" s="6" t="s">
        <v>608</v>
      </c>
      <c r="P389" s="222" t="s">
        <v>3838</v>
      </c>
      <c r="Q389" s="183" t="n">
        <f aca="false">NonNV!C5</f>
        <v>0.7</v>
      </c>
      <c r="R389" s="28" t="s">
        <v>608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3839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1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4791</v>
      </c>
      <c r="B390" s="222" t="s">
        <v>3833</v>
      </c>
      <c r="C390" s="28" t="s">
        <v>4790</v>
      </c>
      <c r="D390" s="28" t="s">
        <v>4502</v>
      </c>
      <c r="E390" s="6" t="s">
        <v>3437</v>
      </c>
      <c r="F390" s="28" t="s">
        <v>94</v>
      </c>
      <c r="G390" s="222" t="s">
        <v>79</v>
      </c>
      <c r="H390" s="28" t="s">
        <v>608</v>
      </c>
      <c r="I390" s="6" t="s">
        <v>608</v>
      </c>
      <c r="J390" s="28" t="s">
        <v>608</v>
      </c>
      <c r="K390" s="183" t="n">
        <f aca="false">NonNV!E5</f>
        <v>0.8</v>
      </c>
      <c r="L390" s="183" t="n">
        <f aca="false">NonNV!G5</f>
        <v>1</v>
      </c>
      <c r="M390" s="28" t="s">
        <v>608</v>
      </c>
      <c r="N390" s="223" t="str">
        <f aca="false">NonNV!$L$5</f>
        <v>MI355X 在 V4-Pro 上 26 天內吞吐提升 110 倍（S20 所屬部落格），軟體成熟度為主要不確定</v>
      </c>
      <c r="O390" s="6" t="s">
        <v>608</v>
      </c>
      <c r="P390" s="222" t="s">
        <v>3838</v>
      </c>
      <c r="Q390" s="183" t="n">
        <f aca="false">NonNV!F5</f>
        <v>0.9</v>
      </c>
      <c r="R390" s="28" t="s">
        <v>608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3839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1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4792</v>
      </c>
      <c r="B391" s="222" t="s">
        <v>3833</v>
      </c>
      <c r="C391" s="28" t="s">
        <v>4790</v>
      </c>
      <c r="D391" s="28" t="s">
        <v>4793</v>
      </c>
      <c r="E391" s="6" t="s">
        <v>3437</v>
      </c>
      <c r="F391" s="28" t="s">
        <v>94</v>
      </c>
      <c r="G391" s="222" t="s">
        <v>1137</v>
      </c>
      <c r="H391" s="28" t="s">
        <v>608</v>
      </c>
      <c r="I391" s="6" t="s">
        <v>608</v>
      </c>
      <c r="J391" s="28" t="s">
        <v>608</v>
      </c>
      <c r="K391" s="222"/>
      <c r="L391" s="222"/>
      <c r="M391" s="28" t="s">
        <v>608</v>
      </c>
      <c r="N391" s="223" t="str">
        <f aca="false">NonNV!$L$5</f>
        <v>MI355X 在 V4-Pro 上 26 天內吞吐提升 110 倍（S20 所屬部落格），軟體成熟度為主要不確定</v>
      </c>
      <c r="O391" s="6" t="s">
        <v>608</v>
      </c>
      <c r="P391" s="222" t="s">
        <v>3838</v>
      </c>
      <c r="Q391" s="183" t="n">
        <f aca="false">NonNV!B5</f>
        <v>0.5</v>
      </c>
      <c r="R391" s="28" t="s">
        <v>608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3839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1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4794</v>
      </c>
      <c r="B392" s="222" t="s">
        <v>3833</v>
      </c>
      <c r="C392" s="28" t="s">
        <v>4790</v>
      </c>
      <c r="D392" s="28" t="s">
        <v>4499</v>
      </c>
      <c r="E392" s="6" t="s">
        <v>3437</v>
      </c>
      <c r="F392" s="28" t="s">
        <v>94</v>
      </c>
      <c r="G392" s="222" t="s">
        <v>1138</v>
      </c>
      <c r="H392" s="28" t="s">
        <v>608</v>
      </c>
      <c r="I392" s="6" t="s">
        <v>608</v>
      </c>
      <c r="J392" s="28" t="s">
        <v>608</v>
      </c>
      <c r="K392" s="222"/>
      <c r="L392" s="222"/>
      <c r="M392" s="28" t="s">
        <v>608</v>
      </c>
      <c r="N392" s="223" t="str">
        <f aca="false">NonNV!$L$5</f>
        <v>MI355X 在 V4-Pro 上 26 天內吞吐提升 110 倍（S20 所屬部落格），軟體成熟度為主要不確定</v>
      </c>
      <c r="O392" s="6" t="s">
        <v>608</v>
      </c>
      <c r="P392" s="222" t="s">
        <v>3838</v>
      </c>
      <c r="Q392" s="183" t="n">
        <f aca="false">NonNV!D5</f>
        <v>1</v>
      </c>
      <c r="R392" s="28" t="s">
        <v>608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3839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1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4795</v>
      </c>
      <c r="B393" s="222" t="s">
        <v>3833</v>
      </c>
      <c r="C393" s="28" t="s">
        <v>4790</v>
      </c>
      <c r="D393" s="28" t="s">
        <v>3684</v>
      </c>
      <c r="E393" s="6" t="s">
        <v>3437</v>
      </c>
      <c r="F393" s="28" t="s">
        <v>94</v>
      </c>
      <c r="G393" s="222" t="s">
        <v>1137</v>
      </c>
      <c r="H393" s="28" t="s">
        <v>608</v>
      </c>
      <c r="I393" s="6" t="s">
        <v>608</v>
      </c>
      <c r="J393" s="28" t="s">
        <v>608</v>
      </c>
      <c r="K393" s="222"/>
      <c r="L393" s="222"/>
      <c r="M393" s="28" t="s">
        <v>608</v>
      </c>
      <c r="N393" s="223" t="str">
        <f aca="false">NonNV!$L$5</f>
        <v>MI355X 在 V4-Pro 上 26 天內吞吐提升 110 倍（S20 所屬部落格），軟體成熟度為主要不確定</v>
      </c>
      <c r="O393" s="6" t="s">
        <v>608</v>
      </c>
      <c r="P393" s="222" t="s">
        <v>3838</v>
      </c>
      <c r="Q393" s="183" t="n">
        <f aca="false">NonNV!E5</f>
        <v>0.8</v>
      </c>
      <c r="R393" s="28" t="s">
        <v>608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3839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1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4796</v>
      </c>
      <c r="B394" s="222" t="s">
        <v>3833</v>
      </c>
      <c r="C394" s="28" t="s">
        <v>4790</v>
      </c>
      <c r="D394" s="28" t="s">
        <v>4504</v>
      </c>
      <c r="E394" s="6" t="s">
        <v>3437</v>
      </c>
      <c r="F394" s="28" t="s">
        <v>94</v>
      </c>
      <c r="G394" s="222" t="s">
        <v>1138</v>
      </c>
      <c r="H394" s="28" t="s">
        <v>608</v>
      </c>
      <c r="I394" s="6" t="s">
        <v>608</v>
      </c>
      <c r="J394" s="28" t="s">
        <v>608</v>
      </c>
      <c r="K394" s="222"/>
      <c r="L394" s="222"/>
      <c r="M394" s="28" t="s">
        <v>608</v>
      </c>
      <c r="N394" s="223" t="str">
        <f aca="false">NonNV!$L$5</f>
        <v>MI355X 在 V4-Pro 上 26 天內吞吐提升 110 倍（S20 所屬部落格），軟體成熟度為主要不確定</v>
      </c>
      <c r="O394" s="6" t="s">
        <v>608</v>
      </c>
      <c r="P394" s="222" t="s">
        <v>3838</v>
      </c>
      <c r="Q394" s="183" t="n">
        <f aca="false">NonNV!G5</f>
        <v>1</v>
      </c>
      <c r="R394" s="28" t="s">
        <v>608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3839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1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4797</v>
      </c>
      <c r="B395" s="222" t="s">
        <v>3833</v>
      </c>
      <c r="C395" s="28" t="s">
        <v>4790</v>
      </c>
      <c r="D395" s="28" t="s">
        <v>3998</v>
      </c>
      <c r="E395" s="6" t="s">
        <v>3439</v>
      </c>
      <c r="F395" s="28" t="s">
        <v>94</v>
      </c>
      <c r="G395" s="222" t="s">
        <v>79</v>
      </c>
      <c r="H395" s="28" t="s">
        <v>608</v>
      </c>
      <c r="I395" s="6" t="s">
        <v>608</v>
      </c>
      <c r="J395" s="28" t="s">
        <v>608</v>
      </c>
      <c r="K395" s="183" t="n">
        <f aca="false">NonNV!B6</f>
        <v>0.6</v>
      </c>
      <c r="L395" s="183" t="n">
        <f aca="false">NonNV!D6</f>
        <v>1.1</v>
      </c>
      <c r="M395" s="28" t="s">
        <v>608</v>
      </c>
      <c r="N395" s="223" t="str">
        <f aca="false">NonNV!$L$6</f>
        <v>自用為主，無公開同口徑實測</v>
      </c>
      <c r="O395" s="6" t="s">
        <v>608</v>
      </c>
      <c r="P395" s="222" t="s">
        <v>3838</v>
      </c>
      <c r="Q395" s="183" t="n">
        <f aca="false">NonNV!C6</f>
        <v>0.8</v>
      </c>
      <c r="R395" s="28" t="s">
        <v>608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3839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1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4798</v>
      </c>
      <c r="B396" s="222" t="s">
        <v>3833</v>
      </c>
      <c r="C396" s="28" t="s">
        <v>4790</v>
      </c>
      <c r="D396" s="28" t="s">
        <v>4006</v>
      </c>
      <c r="E396" s="6" t="s">
        <v>3439</v>
      </c>
      <c r="F396" s="28" t="s">
        <v>94</v>
      </c>
      <c r="G396" s="222" t="s">
        <v>79</v>
      </c>
      <c r="H396" s="28" t="s">
        <v>608</v>
      </c>
      <c r="I396" s="6" t="s">
        <v>608</v>
      </c>
      <c r="J396" s="28" t="s">
        <v>608</v>
      </c>
      <c r="K396" s="183" t="n">
        <f aca="false">NonNV!E6</f>
        <v>0.7</v>
      </c>
      <c r="L396" s="183" t="n">
        <f aca="false">NonNV!G6</f>
        <v>1</v>
      </c>
      <c r="M396" s="28" t="s">
        <v>608</v>
      </c>
      <c r="N396" s="223" t="str">
        <f aca="false">NonNV!$L$6</f>
        <v>自用為主，無公開同口徑實測</v>
      </c>
      <c r="O396" s="6" t="s">
        <v>608</v>
      </c>
      <c r="P396" s="222" t="s">
        <v>3838</v>
      </c>
      <c r="Q396" s="183" t="n">
        <f aca="false">NonNV!F6</f>
        <v>0.8</v>
      </c>
      <c r="R396" s="28" t="s">
        <v>608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3839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1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4799</v>
      </c>
      <c r="B397" s="222" t="s">
        <v>3833</v>
      </c>
      <c r="C397" s="28" t="s">
        <v>4790</v>
      </c>
      <c r="D397" s="28" t="s">
        <v>4800</v>
      </c>
      <c r="E397" s="6" t="s">
        <v>3439</v>
      </c>
      <c r="F397" s="28" t="s">
        <v>94</v>
      </c>
      <c r="G397" s="222" t="s">
        <v>1137</v>
      </c>
      <c r="H397" s="28" t="s">
        <v>608</v>
      </c>
      <c r="I397" s="6" t="s">
        <v>608</v>
      </c>
      <c r="J397" s="28" t="s">
        <v>608</v>
      </c>
      <c r="K397" s="222"/>
      <c r="L397" s="222"/>
      <c r="M397" s="28" t="s">
        <v>608</v>
      </c>
      <c r="N397" s="223" t="str">
        <f aca="false">NonNV!$L$6</f>
        <v>自用為主，無公開同口徑實測</v>
      </c>
      <c r="O397" s="6" t="s">
        <v>608</v>
      </c>
      <c r="P397" s="222" t="s">
        <v>3838</v>
      </c>
      <c r="Q397" s="183" t="n">
        <f aca="false">NonNV!B6</f>
        <v>0.6</v>
      </c>
      <c r="R397" s="28" t="s">
        <v>608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3839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1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4801</v>
      </c>
      <c r="B398" s="222" t="s">
        <v>3833</v>
      </c>
      <c r="C398" s="28" t="s">
        <v>4790</v>
      </c>
      <c r="D398" s="28" t="s">
        <v>4002</v>
      </c>
      <c r="E398" s="6" t="s">
        <v>3439</v>
      </c>
      <c r="F398" s="28" t="s">
        <v>94</v>
      </c>
      <c r="G398" s="222" t="s">
        <v>1138</v>
      </c>
      <c r="H398" s="28" t="s">
        <v>608</v>
      </c>
      <c r="I398" s="6" t="s">
        <v>608</v>
      </c>
      <c r="J398" s="28" t="s">
        <v>608</v>
      </c>
      <c r="K398" s="222"/>
      <c r="L398" s="222"/>
      <c r="M398" s="28" t="s">
        <v>608</v>
      </c>
      <c r="N398" s="223" t="str">
        <f aca="false">NonNV!$L$6</f>
        <v>自用為主，無公開同口徑實測</v>
      </c>
      <c r="O398" s="6" t="s">
        <v>608</v>
      </c>
      <c r="P398" s="222" t="s">
        <v>3838</v>
      </c>
      <c r="Q398" s="183" t="n">
        <f aca="false">NonNV!D6</f>
        <v>1.1</v>
      </c>
      <c r="R398" s="28" t="s">
        <v>608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3839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1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4802</v>
      </c>
      <c r="B399" s="222" t="s">
        <v>3833</v>
      </c>
      <c r="C399" s="28" t="s">
        <v>4790</v>
      </c>
      <c r="D399" s="28" t="s">
        <v>3686</v>
      </c>
      <c r="E399" s="6" t="s">
        <v>3439</v>
      </c>
      <c r="F399" s="28" t="s">
        <v>94</v>
      </c>
      <c r="G399" s="222" t="s">
        <v>1137</v>
      </c>
      <c r="H399" s="28" t="s">
        <v>608</v>
      </c>
      <c r="I399" s="6" t="s">
        <v>608</v>
      </c>
      <c r="J399" s="28" t="s">
        <v>608</v>
      </c>
      <c r="K399" s="222"/>
      <c r="L399" s="222"/>
      <c r="M399" s="28" t="s">
        <v>608</v>
      </c>
      <c r="N399" s="223" t="str">
        <f aca="false">NonNV!$L$6</f>
        <v>自用為主，無公開同口徑實測</v>
      </c>
      <c r="O399" s="6" t="s">
        <v>608</v>
      </c>
      <c r="P399" s="222" t="s">
        <v>3838</v>
      </c>
      <c r="Q399" s="183" t="n">
        <f aca="false">NonNV!E6</f>
        <v>0.7</v>
      </c>
      <c r="R399" s="28" t="s">
        <v>608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3839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1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4803</v>
      </c>
      <c r="B400" s="222" t="s">
        <v>3833</v>
      </c>
      <c r="C400" s="28" t="s">
        <v>4790</v>
      </c>
      <c r="D400" s="28" t="s">
        <v>4008</v>
      </c>
      <c r="E400" s="6" t="s">
        <v>3439</v>
      </c>
      <c r="F400" s="28" t="s">
        <v>94</v>
      </c>
      <c r="G400" s="222" t="s">
        <v>1138</v>
      </c>
      <c r="H400" s="28" t="s">
        <v>608</v>
      </c>
      <c r="I400" s="6" t="s">
        <v>608</v>
      </c>
      <c r="J400" s="28" t="s">
        <v>608</v>
      </c>
      <c r="K400" s="222"/>
      <c r="L400" s="222"/>
      <c r="M400" s="28" t="s">
        <v>608</v>
      </c>
      <c r="N400" s="223" t="str">
        <f aca="false">NonNV!$L$6</f>
        <v>自用為主，無公開同口徑實測</v>
      </c>
      <c r="O400" s="6" t="s">
        <v>608</v>
      </c>
      <c r="P400" s="222" t="s">
        <v>3838</v>
      </c>
      <c r="Q400" s="183" t="n">
        <f aca="false">NonNV!G6</f>
        <v>1</v>
      </c>
      <c r="R400" s="28" t="s">
        <v>608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3839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1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4804</v>
      </c>
      <c r="B401" s="222" t="s">
        <v>3833</v>
      </c>
      <c r="C401" s="28" t="s">
        <v>4790</v>
      </c>
      <c r="D401" s="28" t="s">
        <v>4325</v>
      </c>
      <c r="E401" s="6" t="s">
        <v>3441</v>
      </c>
      <c r="F401" s="28" t="s">
        <v>94</v>
      </c>
      <c r="G401" s="222" t="s">
        <v>79</v>
      </c>
      <c r="H401" s="28" t="s">
        <v>608</v>
      </c>
      <c r="I401" s="6" t="s">
        <v>608</v>
      </c>
      <c r="J401" s="28" t="s">
        <v>608</v>
      </c>
      <c r="K401" s="183" t="n">
        <f aca="false">NonNV!B7</f>
        <v>0.3</v>
      </c>
      <c r="L401" s="183" t="n">
        <f aca="false">NonNV!D7</f>
        <v>0.8</v>
      </c>
      <c r="M401" s="28" t="s">
        <v>608</v>
      </c>
      <c r="N401" s="223" t="str">
        <f aca="false">NonNV!$L$7</f>
        <v>OpenAI v0.5 以 2GW Trainium 合約為輸入</v>
      </c>
      <c r="O401" s="6" t="s">
        <v>608</v>
      </c>
      <c r="P401" s="222" t="s">
        <v>3838</v>
      </c>
      <c r="Q401" s="183" t="n">
        <f aca="false">NonNV!C7</f>
        <v>0.5</v>
      </c>
      <c r="R401" s="28" t="s">
        <v>608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3839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1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4805</v>
      </c>
      <c r="B402" s="222" t="s">
        <v>3833</v>
      </c>
      <c r="C402" s="28" t="s">
        <v>4790</v>
      </c>
      <c r="D402" s="28" t="s">
        <v>4518</v>
      </c>
      <c r="E402" s="6" t="s">
        <v>3441</v>
      </c>
      <c r="F402" s="28" t="s">
        <v>94</v>
      </c>
      <c r="G402" s="222" t="s">
        <v>79</v>
      </c>
      <c r="H402" s="28" t="s">
        <v>608</v>
      </c>
      <c r="I402" s="6" t="s">
        <v>608</v>
      </c>
      <c r="J402" s="28" t="s">
        <v>608</v>
      </c>
      <c r="K402" s="183" t="n">
        <f aca="false">NonNV!E7</f>
        <v>0.6</v>
      </c>
      <c r="L402" s="183" t="n">
        <f aca="false">NonNV!G7</f>
        <v>0.9</v>
      </c>
      <c r="M402" s="28" t="s">
        <v>608</v>
      </c>
      <c r="N402" s="223" t="str">
        <f aca="false">NonNV!$L$7</f>
        <v>OpenAI v0.5 以 2GW Trainium 合約為輸入</v>
      </c>
      <c r="O402" s="6" t="s">
        <v>608</v>
      </c>
      <c r="P402" s="222" t="s">
        <v>3838</v>
      </c>
      <c r="Q402" s="183" t="n">
        <f aca="false">NonNV!F7</f>
        <v>0.7</v>
      </c>
      <c r="R402" s="28" t="s">
        <v>608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3839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1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4806</v>
      </c>
      <c r="B403" s="222" t="s">
        <v>3833</v>
      </c>
      <c r="C403" s="28" t="s">
        <v>4790</v>
      </c>
      <c r="D403" s="28" t="s">
        <v>4807</v>
      </c>
      <c r="E403" s="6" t="s">
        <v>3441</v>
      </c>
      <c r="F403" s="28" t="s">
        <v>94</v>
      </c>
      <c r="G403" s="222" t="s">
        <v>1137</v>
      </c>
      <c r="H403" s="28" t="s">
        <v>608</v>
      </c>
      <c r="I403" s="6" t="s">
        <v>608</v>
      </c>
      <c r="J403" s="28" t="s">
        <v>608</v>
      </c>
      <c r="K403" s="222"/>
      <c r="L403" s="222"/>
      <c r="M403" s="28" t="s">
        <v>608</v>
      </c>
      <c r="N403" s="223" t="str">
        <f aca="false">NonNV!$L$7</f>
        <v>OpenAI v0.5 以 2GW Trainium 合約為輸入</v>
      </c>
      <c r="O403" s="6" t="s">
        <v>608</v>
      </c>
      <c r="P403" s="222" t="s">
        <v>3838</v>
      </c>
      <c r="Q403" s="183" t="n">
        <f aca="false">NonNV!B7</f>
        <v>0.3</v>
      </c>
      <c r="R403" s="28" t="s">
        <v>608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3839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1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4808</v>
      </c>
      <c r="B404" s="222" t="s">
        <v>3833</v>
      </c>
      <c r="C404" s="28" t="s">
        <v>4790</v>
      </c>
      <c r="D404" s="28" t="s">
        <v>4328</v>
      </c>
      <c r="E404" s="6" t="s">
        <v>3441</v>
      </c>
      <c r="F404" s="28" t="s">
        <v>94</v>
      </c>
      <c r="G404" s="222" t="s">
        <v>1138</v>
      </c>
      <c r="H404" s="28" t="s">
        <v>608</v>
      </c>
      <c r="I404" s="6" t="s">
        <v>608</v>
      </c>
      <c r="J404" s="28" t="s">
        <v>608</v>
      </c>
      <c r="K404" s="222"/>
      <c r="L404" s="222"/>
      <c r="M404" s="28" t="s">
        <v>608</v>
      </c>
      <c r="N404" s="223" t="str">
        <f aca="false">NonNV!$L$7</f>
        <v>OpenAI v0.5 以 2GW Trainium 合約為輸入</v>
      </c>
      <c r="O404" s="6" t="s">
        <v>608</v>
      </c>
      <c r="P404" s="222" t="s">
        <v>3838</v>
      </c>
      <c r="Q404" s="183" t="n">
        <f aca="false">NonNV!D7</f>
        <v>0.8</v>
      </c>
      <c r="R404" s="28" t="s">
        <v>608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3839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1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4809</v>
      </c>
      <c r="B405" s="222" t="s">
        <v>3833</v>
      </c>
      <c r="C405" s="28" t="s">
        <v>4790</v>
      </c>
      <c r="D405" s="28" t="s">
        <v>3689</v>
      </c>
      <c r="E405" s="6" t="s">
        <v>3441</v>
      </c>
      <c r="F405" s="28" t="s">
        <v>94</v>
      </c>
      <c r="G405" s="222" t="s">
        <v>1137</v>
      </c>
      <c r="H405" s="28" t="s">
        <v>608</v>
      </c>
      <c r="I405" s="6" t="s">
        <v>608</v>
      </c>
      <c r="J405" s="28" t="s">
        <v>608</v>
      </c>
      <c r="K405" s="222"/>
      <c r="L405" s="222"/>
      <c r="M405" s="28" t="s">
        <v>608</v>
      </c>
      <c r="N405" s="223" t="str">
        <f aca="false">NonNV!$L$7</f>
        <v>OpenAI v0.5 以 2GW Trainium 合約為輸入</v>
      </c>
      <c r="O405" s="6" t="s">
        <v>608</v>
      </c>
      <c r="P405" s="222" t="s">
        <v>3838</v>
      </c>
      <c r="Q405" s="183" t="n">
        <f aca="false">NonNV!E7</f>
        <v>0.6</v>
      </c>
      <c r="R405" s="28" t="s">
        <v>608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3839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1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4810</v>
      </c>
      <c r="B406" s="222" t="s">
        <v>3833</v>
      </c>
      <c r="C406" s="28" t="s">
        <v>4790</v>
      </c>
      <c r="D406" s="28" t="s">
        <v>4520</v>
      </c>
      <c r="E406" s="6" t="s">
        <v>3441</v>
      </c>
      <c r="F406" s="28" t="s">
        <v>94</v>
      </c>
      <c r="G406" s="222" t="s">
        <v>1138</v>
      </c>
      <c r="H406" s="28" t="s">
        <v>608</v>
      </c>
      <c r="I406" s="6" t="s">
        <v>608</v>
      </c>
      <c r="J406" s="28" t="s">
        <v>608</v>
      </c>
      <c r="K406" s="222"/>
      <c r="L406" s="222"/>
      <c r="M406" s="28" t="s">
        <v>608</v>
      </c>
      <c r="N406" s="223" t="str">
        <f aca="false">NonNV!$L$7</f>
        <v>OpenAI v0.5 以 2GW Trainium 合約為輸入</v>
      </c>
      <c r="O406" s="6" t="s">
        <v>608</v>
      </c>
      <c r="P406" s="222" t="s">
        <v>3838</v>
      </c>
      <c r="Q406" s="183" t="n">
        <f aca="false">NonNV!G7</f>
        <v>0.9</v>
      </c>
      <c r="R406" s="28" t="s">
        <v>608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3839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1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4811</v>
      </c>
      <c r="B407" s="222" t="s">
        <v>3833</v>
      </c>
      <c r="C407" s="28" t="s">
        <v>4790</v>
      </c>
      <c r="D407" s="28" t="s">
        <v>4011</v>
      </c>
      <c r="E407" s="6" t="s">
        <v>3443</v>
      </c>
      <c r="F407" s="28" t="s">
        <v>94</v>
      </c>
      <c r="G407" s="222" t="s">
        <v>79</v>
      </c>
      <c r="H407" s="28" t="s">
        <v>608</v>
      </c>
      <c r="I407" s="6" t="s">
        <v>608</v>
      </c>
      <c r="J407" s="28" t="s">
        <v>608</v>
      </c>
      <c r="K407" s="183" t="n">
        <f aca="false">NonNV!B8</f>
        <v>0.2</v>
      </c>
      <c r="L407" s="183" t="n">
        <f aca="false">NonNV!D8</f>
        <v>0.8</v>
      </c>
      <c r="M407" s="28" t="s">
        <v>608</v>
      </c>
      <c r="N407" s="223" t="str">
        <f aca="false">NonNV!$L$8</f>
        <v>高互動性利基；每 GW 吞吐低、單用戶速度高</v>
      </c>
      <c r="O407" s="6" t="s">
        <v>608</v>
      </c>
      <c r="P407" s="222" t="s">
        <v>3838</v>
      </c>
      <c r="Q407" s="183" t="n">
        <f aca="false">NonNV!C8</f>
        <v>0.4</v>
      </c>
      <c r="R407" s="28" t="s">
        <v>608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3839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1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4812</v>
      </c>
      <c r="B408" s="222" t="s">
        <v>3833</v>
      </c>
      <c r="C408" s="28" t="s">
        <v>4790</v>
      </c>
      <c r="D408" s="28" t="s">
        <v>4019</v>
      </c>
      <c r="E408" s="6" t="s">
        <v>3443</v>
      </c>
      <c r="F408" s="28" t="s">
        <v>94</v>
      </c>
      <c r="G408" s="222" t="s">
        <v>79</v>
      </c>
      <c r="H408" s="28" t="s">
        <v>608</v>
      </c>
      <c r="I408" s="6" t="s">
        <v>608</v>
      </c>
      <c r="J408" s="28" t="s">
        <v>608</v>
      </c>
      <c r="K408" s="183" t="n">
        <f aca="false">NonNV!E8</f>
        <v>0.8</v>
      </c>
      <c r="L408" s="183" t="n">
        <f aca="false">NonNV!G8</f>
        <v>1.2</v>
      </c>
      <c r="M408" s="28" t="s">
        <v>608</v>
      </c>
      <c r="N408" s="223" t="str">
        <f aca="false">NonNV!$L$8</f>
        <v>高互動性利基；每 GW 吞吐低、單用戶速度高</v>
      </c>
      <c r="O408" s="6" t="s">
        <v>608</v>
      </c>
      <c r="P408" s="222" t="s">
        <v>3838</v>
      </c>
      <c r="Q408" s="183" t="n">
        <f aca="false">NonNV!F8</f>
        <v>1</v>
      </c>
      <c r="R408" s="28" t="s">
        <v>608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3839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1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4813</v>
      </c>
      <c r="B409" s="222" t="s">
        <v>3833</v>
      </c>
      <c r="C409" s="28" t="s">
        <v>4790</v>
      </c>
      <c r="D409" s="28" t="s">
        <v>4814</v>
      </c>
      <c r="E409" s="6" t="s">
        <v>3443</v>
      </c>
      <c r="F409" s="28" t="s">
        <v>94</v>
      </c>
      <c r="G409" s="222" t="s">
        <v>1137</v>
      </c>
      <c r="H409" s="28" t="s">
        <v>608</v>
      </c>
      <c r="I409" s="6" t="s">
        <v>608</v>
      </c>
      <c r="J409" s="28" t="s">
        <v>608</v>
      </c>
      <c r="K409" s="222"/>
      <c r="L409" s="222"/>
      <c r="M409" s="28" t="s">
        <v>608</v>
      </c>
      <c r="N409" s="223" t="str">
        <f aca="false">NonNV!$L$8</f>
        <v>高互動性利基；每 GW 吞吐低、單用戶速度高</v>
      </c>
      <c r="O409" s="6" t="s">
        <v>608</v>
      </c>
      <c r="P409" s="222" t="s">
        <v>3838</v>
      </c>
      <c r="Q409" s="183" t="n">
        <f aca="false">NonNV!B8</f>
        <v>0.2</v>
      </c>
      <c r="R409" s="28" t="s">
        <v>608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3839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1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4815</v>
      </c>
      <c r="B410" s="222" t="s">
        <v>3833</v>
      </c>
      <c r="C410" s="28" t="s">
        <v>4790</v>
      </c>
      <c r="D410" s="28" t="s">
        <v>4014</v>
      </c>
      <c r="E410" s="6" t="s">
        <v>3443</v>
      </c>
      <c r="F410" s="28" t="s">
        <v>94</v>
      </c>
      <c r="G410" s="222" t="s">
        <v>1138</v>
      </c>
      <c r="H410" s="28" t="s">
        <v>608</v>
      </c>
      <c r="I410" s="6" t="s">
        <v>608</v>
      </c>
      <c r="J410" s="28" t="s">
        <v>608</v>
      </c>
      <c r="K410" s="222"/>
      <c r="L410" s="222"/>
      <c r="M410" s="28" t="s">
        <v>608</v>
      </c>
      <c r="N410" s="223" t="str">
        <f aca="false">NonNV!$L$8</f>
        <v>高互動性利基；每 GW 吞吐低、單用戶速度高</v>
      </c>
      <c r="O410" s="6" t="s">
        <v>608</v>
      </c>
      <c r="P410" s="222" t="s">
        <v>3838</v>
      </c>
      <c r="Q410" s="183" t="n">
        <f aca="false">NonNV!D8</f>
        <v>0.8</v>
      </c>
      <c r="R410" s="28" t="s">
        <v>608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3839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1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4816</v>
      </c>
      <c r="B411" s="222" t="s">
        <v>3833</v>
      </c>
      <c r="C411" s="28" t="s">
        <v>4790</v>
      </c>
      <c r="D411" s="28" t="s">
        <v>3692</v>
      </c>
      <c r="E411" s="6" t="s">
        <v>3443</v>
      </c>
      <c r="F411" s="28" t="s">
        <v>94</v>
      </c>
      <c r="G411" s="222" t="s">
        <v>1137</v>
      </c>
      <c r="H411" s="28" t="s">
        <v>608</v>
      </c>
      <c r="I411" s="6" t="s">
        <v>608</v>
      </c>
      <c r="J411" s="28" t="s">
        <v>608</v>
      </c>
      <c r="K411" s="222"/>
      <c r="L411" s="222"/>
      <c r="M411" s="28" t="s">
        <v>608</v>
      </c>
      <c r="N411" s="223" t="str">
        <f aca="false">NonNV!$L$8</f>
        <v>高互動性利基；每 GW 吞吐低、單用戶速度高</v>
      </c>
      <c r="O411" s="6" t="s">
        <v>608</v>
      </c>
      <c r="P411" s="222" t="s">
        <v>3838</v>
      </c>
      <c r="Q411" s="183" t="n">
        <f aca="false">NonNV!E8</f>
        <v>0.8</v>
      </c>
      <c r="R411" s="28" t="s">
        <v>608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3839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1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4817</v>
      </c>
      <c r="B412" s="222" t="s">
        <v>3833</v>
      </c>
      <c r="C412" s="28" t="s">
        <v>4790</v>
      </c>
      <c r="D412" s="28" t="s">
        <v>4022</v>
      </c>
      <c r="E412" s="6" t="s">
        <v>3443</v>
      </c>
      <c r="F412" s="28" t="s">
        <v>94</v>
      </c>
      <c r="G412" s="222" t="s">
        <v>1138</v>
      </c>
      <c r="H412" s="28" t="s">
        <v>608</v>
      </c>
      <c r="I412" s="6" t="s">
        <v>608</v>
      </c>
      <c r="J412" s="28" t="s">
        <v>608</v>
      </c>
      <c r="K412" s="222"/>
      <c r="L412" s="222"/>
      <c r="M412" s="28" t="s">
        <v>608</v>
      </c>
      <c r="N412" s="223" t="str">
        <f aca="false">NonNV!$L$8</f>
        <v>高互動性利基；每 GW 吞吐低、單用戶速度高</v>
      </c>
      <c r="O412" s="6" t="s">
        <v>608</v>
      </c>
      <c r="P412" s="222" t="s">
        <v>3838</v>
      </c>
      <c r="Q412" s="183" t="n">
        <f aca="false">NonNV!G8</f>
        <v>1.2</v>
      </c>
      <c r="R412" s="28" t="s">
        <v>608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3839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1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4818</v>
      </c>
      <c r="B413" s="222" t="s">
        <v>3833</v>
      </c>
      <c r="C413" s="28" t="s">
        <v>4790</v>
      </c>
      <c r="D413" s="28" t="s">
        <v>4025</v>
      </c>
      <c r="E413" s="6" t="s">
        <v>3445</v>
      </c>
      <c r="F413" s="28" t="s">
        <v>94</v>
      </c>
      <c r="G413" s="222" t="s">
        <v>79</v>
      </c>
      <c r="H413" s="28" t="s">
        <v>608</v>
      </c>
      <c r="I413" s="6" t="s">
        <v>608</v>
      </c>
      <c r="J413" s="28" t="s">
        <v>608</v>
      </c>
      <c r="K413" s="183" t="n">
        <f aca="false">NonNV!B9</f>
        <v>0.4</v>
      </c>
      <c r="L413" s="183" t="n">
        <f aca="false">NonNV!D9</f>
        <v>0.9</v>
      </c>
      <c r="M413" s="28" t="s">
        <v>608</v>
      </c>
      <c r="N413" s="223" t="str">
        <f aca="false">NonNV!$L$9</f>
        <v>無公開規格；沿用 v0.5「自研／其他 0.6（0.4–1.0）」</v>
      </c>
      <c r="O413" s="6" t="s">
        <v>608</v>
      </c>
      <c r="P413" s="222" t="s">
        <v>3838</v>
      </c>
      <c r="Q413" s="183" t="n">
        <f aca="false">NonNV!C9</f>
        <v>0.6</v>
      </c>
      <c r="R413" s="28" t="s">
        <v>608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3839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1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4819</v>
      </c>
      <c r="B414" s="222" t="s">
        <v>3833</v>
      </c>
      <c r="C414" s="28" t="s">
        <v>4790</v>
      </c>
      <c r="D414" s="28" t="s">
        <v>3850</v>
      </c>
      <c r="E414" s="6" t="s">
        <v>3445</v>
      </c>
      <c r="F414" s="28" t="s">
        <v>94</v>
      </c>
      <c r="G414" s="222" t="s">
        <v>79</v>
      </c>
      <c r="H414" s="28" t="s">
        <v>608</v>
      </c>
      <c r="I414" s="6" t="s">
        <v>608</v>
      </c>
      <c r="J414" s="28" t="s">
        <v>608</v>
      </c>
      <c r="K414" s="183" t="n">
        <f aca="false">NonNV!E9</f>
        <v>0.7</v>
      </c>
      <c r="L414" s="183" t="n">
        <f aca="false">NonNV!G9</f>
        <v>1</v>
      </c>
      <c r="M414" s="28" t="s">
        <v>608</v>
      </c>
      <c r="N414" s="223" t="str">
        <f aca="false">NonNV!$L$9</f>
        <v>無公開規格；沿用 v0.5「自研／其他 0.6（0.4–1.0）」</v>
      </c>
      <c r="O414" s="6" t="s">
        <v>608</v>
      </c>
      <c r="P414" s="222" t="s">
        <v>3838</v>
      </c>
      <c r="Q414" s="183" t="n">
        <f aca="false">NonNV!F9</f>
        <v>0.8</v>
      </c>
      <c r="R414" s="28" t="s">
        <v>608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3839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1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4820</v>
      </c>
      <c r="B415" s="222" t="s">
        <v>3833</v>
      </c>
      <c r="C415" s="28" t="s">
        <v>4790</v>
      </c>
      <c r="D415" s="28" t="s">
        <v>4821</v>
      </c>
      <c r="E415" s="6" t="s">
        <v>3445</v>
      </c>
      <c r="F415" s="28" t="s">
        <v>94</v>
      </c>
      <c r="G415" s="222" t="s">
        <v>1137</v>
      </c>
      <c r="H415" s="28" t="s">
        <v>608</v>
      </c>
      <c r="I415" s="6" t="s">
        <v>608</v>
      </c>
      <c r="J415" s="28" t="s">
        <v>608</v>
      </c>
      <c r="K415" s="222"/>
      <c r="L415" s="222"/>
      <c r="M415" s="28" t="s">
        <v>608</v>
      </c>
      <c r="N415" s="223" t="str">
        <f aca="false">NonNV!$L$9</f>
        <v>無公開規格；沿用 v0.5「自研／其他 0.6（0.4–1.0）」</v>
      </c>
      <c r="O415" s="6" t="s">
        <v>608</v>
      </c>
      <c r="P415" s="222" t="s">
        <v>3838</v>
      </c>
      <c r="Q415" s="183" t="n">
        <f aca="false">NonNV!B9</f>
        <v>0.4</v>
      </c>
      <c r="R415" s="28" t="s">
        <v>608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3839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1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4822</v>
      </c>
      <c r="B416" s="222" t="s">
        <v>3833</v>
      </c>
      <c r="C416" s="28" t="s">
        <v>4790</v>
      </c>
      <c r="D416" s="28" t="s">
        <v>3848</v>
      </c>
      <c r="E416" s="6" t="s">
        <v>3445</v>
      </c>
      <c r="F416" s="28" t="s">
        <v>94</v>
      </c>
      <c r="G416" s="222" t="s">
        <v>1138</v>
      </c>
      <c r="H416" s="28" t="s">
        <v>608</v>
      </c>
      <c r="I416" s="6" t="s">
        <v>608</v>
      </c>
      <c r="J416" s="28" t="s">
        <v>608</v>
      </c>
      <c r="K416" s="222"/>
      <c r="L416" s="222"/>
      <c r="M416" s="28" t="s">
        <v>608</v>
      </c>
      <c r="N416" s="223" t="str">
        <f aca="false">NonNV!$L$9</f>
        <v>無公開規格；沿用 v0.5「自研／其他 0.6（0.4–1.0）」</v>
      </c>
      <c r="O416" s="6" t="s">
        <v>608</v>
      </c>
      <c r="P416" s="222" t="s">
        <v>3838</v>
      </c>
      <c r="Q416" s="183" t="n">
        <f aca="false">NonNV!D9</f>
        <v>0.9</v>
      </c>
      <c r="R416" s="28" t="s">
        <v>608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3839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1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4823</v>
      </c>
      <c r="B417" s="222" t="s">
        <v>3833</v>
      </c>
      <c r="C417" s="28" t="s">
        <v>4790</v>
      </c>
      <c r="D417" s="28" t="s">
        <v>3695</v>
      </c>
      <c r="E417" s="6" t="s">
        <v>3445</v>
      </c>
      <c r="F417" s="28" t="s">
        <v>94</v>
      </c>
      <c r="G417" s="222" t="s">
        <v>1137</v>
      </c>
      <c r="H417" s="28" t="s">
        <v>608</v>
      </c>
      <c r="I417" s="6" t="s">
        <v>608</v>
      </c>
      <c r="J417" s="28" t="s">
        <v>608</v>
      </c>
      <c r="K417" s="222"/>
      <c r="L417" s="222"/>
      <c r="M417" s="28" t="s">
        <v>608</v>
      </c>
      <c r="N417" s="223" t="str">
        <f aca="false">NonNV!$L$9</f>
        <v>無公開規格；沿用 v0.5「自研／其他 0.6（0.4–1.0）」</v>
      </c>
      <c r="O417" s="6" t="s">
        <v>608</v>
      </c>
      <c r="P417" s="222" t="s">
        <v>3838</v>
      </c>
      <c r="Q417" s="183" t="n">
        <f aca="false">NonNV!E9</f>
        <v>0.7</v>
      </c>
      <c r="R417" s="28" t="s">
        <v>608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3839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1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4824</v>
      </c>
      <c r="B418" s="222" t="s">
        <v>3833</v>
      </c>
      <c r="C418" s="28" t="s">
        <v>4790</v>
      </c>
      <c r="D418" s="28" t="s">
        <v>4040</v>
      </c>
      <c r="E418" s="6" t="s">
        <v>3445</v>
      </c>
      <c r="F418" s="28" t="s">
        <v>94</v>
      </c>
      <c r="G418" s="222" t="s">
        <v>1138</v>
      </c>
      <c r="H418" s="28" t="s">
        <v>608</v>
      </c>
      <c r="I418" s="6" t="s">
        <v>608</v>
      </c>
      <c r="J418" s="28" t="s">
        <v>608</v>
      </c>
      <c r="K418" s="222"/>
      <c r="L418" s="222"/>
      <c r="M418" s="28" t="s">
        <v>608</v>
      </c>
      <c r="N418" s="223" t="str">
        <f aca="false">NonNV!$L$9</f>
        <v>無公開規格；沿用 v0.5「自研／其他 0.6（0.4–1.0）」</v>
      </c>
      <c r="O418" s="6" t="s">
        <v>608</v>
      </c>
      <c r="P418" s="222" t="s">
        <v>3838</v>
      </c>
      <c r="Q418" s="183" t="n">
        <f aca="false">NonNV!G9</f>
        <v>1</v>
      </c>
      <c r="R418" s="28" t="s">
        <v>608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3839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1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4825</v>
      </c>
      <c r="B419" s="222" t="s">
        <v>3833</v>
      </c>
      <c r="C419" s="28" t="s">
        <v>4826</v>
      </c>
      <c r="D419" s="28" t="s">
        <v>4827</v>
      </c>
      <c r="E419" s="19" t="s">
        <v>440</v>
      </c>
      <c r="F419" s="222" t="s">
        <v>4588</v>
      </c>
      <c r="G419" s="222" t="s">
        <v>4589</v>
      </c>
      <c r="H419" s="28" t="s">
        <v>608</v>
      </c>
      <c r="I419" s="6" t="s">
        <v>608</v>
      </c>
      <c r="J419" s="28" t="s">
        <v>608</v>
      </c>
      <c r="K419" s="222"/>
      <c r="L419" s="222"/>
      <c r="M419" s="28" t="s">
        <v>608</v>
      </c>
      <c r="N419" s="19" t="s">
        <v>4828</v>
      </c>
      <c r="O419" s="6" t="s">
        <v>608</v>
      </c>
      <c r="P419" s="28" t="s">
        <v>608</v>
      </c>
      <c r="Q419" s="175" t="s">
        <v>608</v>
      </c>
      <c r="R419" s="28" t="s">
        <v>608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28" t="s">
        <v>608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1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4829</v>
      </c>
      <c r="B420" s="222" t="s">
        <v>3833</v>
      </c>
      <c r="C420" s="28" t="s">
        <v>4826</v>
      </c>
      <c r="D420" s="28" t="s">
        <v>4830</v>
      </c>
      <c r="E420" s="19" t="s">
        <v>711</v>
      </c>
      <c r="F420" s="222" t="s">
        <v>4588</v>
      </c>
      <c r="G420" s="222" t="s">
        <v>4589</v>
      </c>
      <c r="H420" s="28" t="s">
        <v>608</v>
      </c>
      <c r="I420" s="6" t="s">
        <v>608</v>
      </c>
      <c r="J420" s="28" t="s">
        <v>608</v>
      </c>
      <c r="K420" s="222"/>
      <c r="L420" s="222"/>
      <c r="M420" s="28" t="s">
        <v>608</v>
      </c>
      <c r="N420" s="19" t="s">
        <v>4828</v>
      </c>
      <c r="O420" s="6" t="s">
        <v>608</v>
      </c>
      <c r="P420" s="28" t="s">
        <v>608</v>
      </c>
      <c r="Q420" s="175" t="s">
        <v>608</v>
      </c>
      <c r="R420" s="28" t="s">
        <v>608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28" t="s">
        <v>608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1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4831</v>
      </c>
      <c r="B421" s="222" t="s">
        <v>3833</v>
      </c>
      <c r="C421" s="28" t="s">
        <v>3535</v>
      </c>
      <c r="D421" s="28" t="s">
        <v>4832</v>
      </c>
      <c r="E421" s="19" t="s">
        <v>440</v>
      </c>
      <c r="F421" s="222" t="s">
        <v>4588</v>
      </c>
      <c r="G421" s="222" t="s">
        <v>4589</v>
      </c>
      <c r="H421" s="28" t="s">
        <v>608</v>
      </c>
      <c r="I421" s="6" t="s">
        <v>608</v>
      </c>
      <c r="J421" s="28" t="s">
        <v>608</v>
      </c>
      <c r="K421" s="222"/>
      <c r="L421" s="222"/>
      <c r="M421" s="28" t="s">
        <v>608</v>
      </c>
      <c r="N421" s="19" t="s">
        <v>4828</v>
      </c>
      <c r="O421" s="6" t="s">
        <v>608</v>
      </c>
      <c r="P421" s="28" t="s">
        <v>608</v>
      </c>
      <c r="Q421" s="175" t="s">
        <v>608</v>
      </c>
      <c r="R421" s="28" t="s">
        <v>608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28" t="s">
        <v>608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1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4833</v>
      </c>
      <c r="B422" s="222" t="s">
        <v>3833</v>
      </c>
      <c r="C422" s="28" t="s">
        <v>3535</v>
      </c>
      <c r="D422" s="28" t="s">
        <v>4834</v>
      </c>
      <c r="E422" s="19" t="s">
        <v>711</v>
      </c>
      <c r="F422" s="222" t="s">
        <v>4588</v>
      </c>
      <c r="G422" s="222" t="s">
        <v>4589</v>
      </c>
      <c r="H422" s="28" t="s">
        <v>608</v>
      </c>
      <c r="I422" s="6" t="s">
        <v>608</v>
      </c>
      <c r="J422" s="28" t="s">
        <v>608</v>
      </c>
      <c r="K422" s="222"/>
      <c r="L422" s="222"/>
      <c r="M422" s="28" t="s">
        <v>608</v>
      </c>
      <c r="N422" s="19" t="s">
        <v>4828</v>
      </c>
      <c r="O422" s="6" t="s">
        <v>608</v>
      </c>
      <c r="P422" s="28" t="s">
        <v>608</v>
      </c>
      <c r="Q422" s="175" t="s">
        <v>608</v>
      </c>
      <c r="R422" s="28" t="s">
        <v>608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28" t="s">
        <v>608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1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4835</v>
      </c>
      <c r="B423" s="222" t="s">
        <v>3833</v>
      </c>
      <c r="C423" s="28" t="s">
        <v>3535</v>
      </c>
      <c r="D423" s="28" t="s">
        <v>4836</v>
      </c>
      <c r="E423" s="19" t="s">
        <v>463</v>
      </c>
      <c r="F423" s="222" t="s">
        <v>369</v>
      </c>
      <c r="G423" s="222" t="s">
        <v>4589</v>
      </c>
      <c r="H423" s="28" t="s">
        <v>608</v>
      </c>
      <c r="I423" s="6" t="s">
        <v>608</v>
      </c>
      <c r="J423" s="28" t="s">
        <v>608</v>
      </c>
      <c r="K423" s="222"/>
      <c r="L423" s="222"/>
      <c r="M423" s="28" t="s">
        <v>608</v>
      </c>
      <c r="N423" s="19" t="s">
        <v>4837</v>
      </c>
      <c r="O423" s="6" t="s">
        <v>608</v>
      </c>
      <c r="P423" s="222" t="s">
        <v>3838</v>
      </c>
      <c r="Q423" s="43" t="n">
        <f aca="false">Sens_Perf!M14</f>
        <v>50</v>
      </c>
      <c r="R423" s="28" t="s">
        <v>608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3839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1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4838</v>
      </c>
      <c r="B424" s="222" t="s">
        <v>3833</v>
      </c>
      <c r="C424" s="28" t="s">
        <v>3535</v>
      </c>
      <c r="D424" s="28" t="s">
        <v>4839</v>
      </c>
      <c r="E424" s="6" t="s">
        <v>358</v>
      </c>
      <c r="F424" s="222" t="s">
        <v>369</v>
      </c>
      <c r="G424" s="222" t="s">
        <v>4589</v>
      </c>
      <c r="H424" s="28" t="s">
        <v>608</v>
      </c>
      <c r="I424" s="6" t="s">
        <v>608</v>
      </c>
      <c r="J424" s="28" t="s">
        <v>608</v>
      </c>
      <c r="K424" s="222"/>
      <c r="L424" s="222"/>
      <c r="M424" s="28" t="s">
        <v>608</v>
      </c>
      <c r="N424" s="19" t="s">
        <v>4837</v>
      </c>
      <c r="O424" s="6" t="s">
        <v>608</v>
      </c>
      <c r="P424" s="28" t="s">
        <v>608</v>
      </c>
      <c r="Q424" s="175" t="s">
        <v>608</v>
      </c>
      <c r="R424" s="28" t="s">
        <v>608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28" t="s">
        <v>608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1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4840</v>
      </c>
      <c r="B425" s="222" t="s">
        <v>3833</v>
      </c>
      <c r="C425" s="28" t="s">
        <v>3535</v>
      </c>
      <c r="D425" s="28" t="s">
        <v>4841</v>
      </c>
      <c r="E425" s="19" t="s">
        <v>4842</v>
      </c>
      <c r="F425" s="222" t="s">
        <v>369</v>
      </c>
      <c r="G425" s="222" t="s">
        <v>4589</v>
      </c>
      <c r="H425" s="28" t="s">
        <v>608</v>
      </c>
      <c r="I425" s="6" t="s">
        <v>608</v>
      </c>
      <c r="J425" s="28" t="s">
        <v>608</v>
      </c>
      <c r="K425" s="222"/>
      <c r="L425" s="222"/>
      <c r="M425" s="28" t="s">
        <v>608</v>
      </c>
      <c r="N425" s="19" t="s">
        <v>4837</v>
      </c>
      <c r="O425" s="6" t="s">
        <v>608</v>
      </c>
      <c r="P425" s="28" t="s">
        <v>608</v>
      </c>
      <c r="Q425" s="175" t="s">
        <v>608</v>
      </c>
      <c r="R425" s="28" t="s">
        <v>608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28" t="s">
        <v>608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1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4843</v>
      </c>
      <c r="B426" s="222" t="s">
        <v>3833</v>
      </c>
      <c r="C426" s="28" t="s">
        <v>3535</v>
      </c>
      <c r="D426" s="28" t="s">
        <v>4844</v>
      </c>
      <c r="E426" s="19" t="s">
        <v>740</v>
      </c>
      <c r="F426" s="222" t="s">
        <v>369</v>
      </c>
      <c r="G426" s="222" t="s">
        <v>4589</v>
      </c>
      <c r="H426" s="28" t="s">
        <v>608</v>
      </c>
      <c r="I426" s="6" t="s">
        <v>608</v>
      </c>
      <c r="J426" s="28" t="s">
        <v>608</v>
      </c>
      <c r="K426" s="222"/>
      <c r="L426" s="222"/>
      <c r="M426" s="28" t="s">
        <v>608</v>
      </c>
      <c r="N426" s="19" t="s">
        <v>4837</v>
      </c>
      <c r="O426" s="6" t="s">
        <v>608</v>
      </c>
      <c r="P426" s="28" t="s">
        <v>608</v>
      </c>
      <c r="Q426" s="175" t="s">
        <v>608</v>
      </c>
      <c r="R426" s="28" t="s">
        <v>608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28" t="s">
        <v>608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1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4845</v>
      </c>
      <c r="B427" s="222" t="s">
        <v>3833</v>
      </c>
      <c r="C427" s="28" t="s">
        <v>3535</v>
      </c>
      <c r="D427" s="28" t="s">
        <v>4846</v>
      </c>
      <c r="E427" s="19" t="s">
        <v>354</v>
      </c>
      <c r="F427" s="222" t="s">
        <v>369</v>
      </c>
      <c r="G427" s="222" t="s">
        <v>4589</v>
      </c>
      <c r="H427" s="28" t="s">
        <v>608</v>
      </c>
      <c r="I427" s="6" t="s">
        <v>608</v>
      </c>
      <c r="J427" s="28" t="s">
        <v>608</v>
      </c>
      <c r="K427" s="222"/>
      <c r="L427" s="222"/>
      <c r="M427" s="28" t="s">
        <v>608</v>
      </c>
      <c r="N427" s="19" t="s">
        <v>4837</v>
      </c>
      <c r="O427" s="6" t="s">
        <v>608</v>
      </c>
      <c r="P427" s="28" t="s">
        <v>608</v>
      </c>
      <c r="Q427" s="175" t="s">
        <v>608</v>
      </c>
      <c r="R427" s="28" t="s">
        <v>608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28" t="s">
        <v>608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1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4847</v>
      </c>
      <c r="B428" s="222" t="s">
        <v>3833</v>
      </c>
      <c r="C428" s="28" t="s">
        <v>3535</v>
      </c>
      <c r="D428" s="28" t="s">
        <v>4848</v>
      </c>
      <c r="E428" s="6" t="s">
        <v>743</v>
      </c>
      <c r="F428" s="222" t="s">
        <v>369</v>
      </c>
      <c r="G428" s="222" t="s">
        <v>4589</v>
      </c>
      <c r="H428" s="28" t="s">
        <v>608</v>
      </c>
      <c r="I428" s="6" t="s">
        <v>608</v>
      </c>
      <c r="J428" s="28" t="s">
        <v>608</v>
      </c>
      <c r="K428" s="222"/>
      <c r="L428" s="222"/>
      <c r="M428" s="28" t="s">
        <v>608</v>
      </c>
      <c r="N428" s="19" t="s">
        <v>4837</v>
      </c>
      <c r="O428" s="6" t="s">
        <v>608</v>
      </c>
      <c r="P428" s="28" t="s">
        <v>608</v>
      </c>
      <c r="Q428" s="175" t="s">
        <v>608</v>
      </c>
      <c r="R428" s="28" t="s">
        <v>608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28" t="s">
        <v>608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1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4849</v>
      </c>
      <c r="B429" s="222" t="s">
        <v>3833</v>
      </c>
      <c r="C429" s="28" t="s">
        <v>3535</v>
      </c>
      <c r="D429" s="28" t="s">
        <v>4850</v>
      </c>
      <c r="E429" s="19" t="s">
        <v>4851</v>
      </c>
      <c r="F429" s="222" t="s">
        <v>369</v>
      </c>
      <c r="G429" s="222" t="s">
        <v>4589</v>
      </c>
      <c r="H429" s="28" t="s">
        <v>608</v>
      </c>
      <c r="I429" s="6" t="s">
        <v>608</v>
      </c>
      <c r="J429" s="28" t="s">
        <v>608</v>
      </c>
      <c r="K429" s="222"/>
      <c r="L429" s="222"/>
      <c r="M429" s="28" t="s">
        <v>608</v>
      </c>
      <c r="N429" s="19" t="s">
        <v>4837</v>
      </c>
      <c r="O429" s="6" t="s">
        <v>608</v>
      </c>
      <c r="P429" s="28" t="s">
        <v>608</v>
      </c>
      <c r="Q429" s="175" t="s">
        <v>608</v>
      </c>
      <c r="R429" s="28" t="s">
        <v>608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28" t="s">
        <v>608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1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4852</v>
      </c>
      <c r="B430" s="222" t="s">
        <v>3833</v>
      </c>
      <c r="C430" s="28" t="s">
        <v>4853</v>
      </c>
      <c r="D430" s="28" t="s">
        <v>4827</v>
      </c>
      <c r="E430" s="19" t="s">
        <v>440</v>
      </c>
      <c r="F430" s="222" t="s">
        <v>4588</v>
      </c>
      <c r="G430" s="222" t="s">
        <v>4589</v>
      </c>
      <c r="H430" s="28" t="s">
        <v>608</v>
      </c>
      <c r="I430" s="6" t="s">
        <v>608</v>
      </c>
      <c r="J430" s="28" t="s">
        <v>608</v>
      </c>
      <c r="K430" s="222"/>
      <c r="L430" s="222"/>
      <c r="M430" s="28" t="s">
        <v>608</v>
      </c>
      <c r="N430" s="19" t="s">
        <v>4828</v>
      </c>
      <c r="O430" s="6" t="s">
        <v>608</v>
      </c>
      <c r="P430" s="28" t="s">
        <v>608</v>
      </c>
      <c r="Q430" s="175" t="s">
        <v>608</v>
      </c>
      <c r="R430" s="28" t="s">
        <v>608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28" t="s">
        <v>608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1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4854</v>
      </c>
      <c r="B431" s="222" t="s">
        <v>4855</v>
      </c>
      <c r="C431" s="28" t="s">
        <v>4856</v>
      </c>
      <c r="D431" s="28" t="s">
        <v>4144</v>
      </c>
      <c r="E431" s="19" t="s">
        <v>4857</v>
      </c>
      <c r="F431" s="222" t="s">
        <v>319</v>
      </c>
      <c r="G431" s="222" t="s">
        <v>3835</v>
      </c>
      <c r="H431" s="28" t="s">
        <v>4858</v>
      </c>
      <c r="I431" s="19" t="s">
        <v>3870</v>
      </c>
      <c r="J431" s="28" t="s">
        <v>608</v>
      </c>
      <c r="K431" s="222"/>
      <c r="L431" s="222"/>
      <c r="M431" s="28" t="s">
        <v>608</v>
      </c>
      <c r="N431" s="19" t="s">
        <v>3973</v>
      </c>
      <c r="O431" s="6" t="s">
        <v>608</v>
      </c>
      <c r="P431" s="222" t="s">
        <v>1138</v>
      </c>
      <c r="Q431" s="186" t="n">
        <f aca="false">Train_In!C25</f>
        <v>32</v>
      </c>
      <c r="R431" s="175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3872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1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4859</v>
      </c>
      <c r="B432" s="222" t="s">
        <v>4855</v>
      </c>
      <c r="C432" s="28" t="s">
        <v>4856</v>
      </c>
      <c r="D432" s="28" t="s">
        <v>4147</v>
      </c>
      <c r="E432" s="19" t="s">
        <v>4857</v>
      </c>
      <c r="F432" s="222" t="s">
        <v>319</v>
      </c>
      <c r="G432" s="222" t="s">
        <v>3835</v>
      </c>
      <c r="H432" s="28" t="s">
        <v>4860</v>
      </c>
      <c r="I432" s="19" t="s">
        <v>3870</v>
      </c>
      <c r="J432" s="28" t="s">
        <v>608</v>
      </c>
      <c r="K432" s="222"/>
      <c r="L432" s="222"/>
      <c r="M432" s="28" t="s">
        <v>608</v>
      </c>
      <c r="N432" s="19" t="s">
        <v>3973</v>
      </c>
      <c r="O432" s="6" t="s">
        <v>608</v>
      </c>
      <c r="P432" s="222" t="s">
        <v>1138</v>
      </c>
      <c r="Q432" s="186" t="n">
        <f aca="false">Train_In!D25</f>
        <v>33</v>
      </c>
      <c r="R432" s="175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3872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1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4861</v>
      </c>
      <c r="B433" s="222" t="s">
        <v>4855</v>
      </c>
      <c r="C433" s="28" t="s">
        <v>4856</v>
      </c>
      <c r="D433" s="28" t="s">
        <v>4160</v>
      </c>
      <c r="E433" s="19" t="s">
        <v>4862</v>
      </c>
      <c r="F433" s="222" t="s">
        <v>319</v>
      </c>
      <c r="G433" s="222" t="s">
        <v>3835</v>
      </c>
      <c r="H433" s="28" t="s">
        <v>4863</v>
      </c>
      <c r="I433" s="19" t="s">
        <v>3870</v>
      </c>
      <c r="J433" s="28" t="s">
        <v>608</v>
      </c>
      <c r="K433" s="222"/>
      <c r="L433" s="222"/>
      <c r="M433" s="28" t="s">
        <v>608</v>
      </c>
      <c r="N433" s="19" t="s">
        <v>3973</v>
      </c>
      <c r="O433" s="6" t="s">
        <v>608</v>
      </c>
      <c r="P433" s="222" t="s">
        <v>3894</v>
      </c>
      <c r="Q433" s="46" t="n">
        <f aca="false">Train_In!C26</f>
        <v>4096</v>
      </c>
      <c r="R433" s="175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3872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1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4864</v>
      </c>
      <c r="B434" s="222" t="s">
        <v>4855</v>
      </c>
      <c r="C434" s="28" t="s">
        <v>4856</v>
      </c>
      <c r="D434" s="28" t="s">
        <v>4163</v>
      </c>
      <c r="E434" s="19" t="s">
        <v>4862</v>
      </c>
      <c r="F434" s="222" t="s">
        <v>319</v>
      </c>
      <c r="G434" s="222" t="s">
        <v>3835</v>
      </c>
      <c r="H434" s="28" t="s">
        <v>4863</v>
      </c>
      <c r="I434" s="19" t="s">
        <v>3870</v>
      </c>
      <c r="J434" s="28" t="s">
        <v>608</v>
      </c>
      <c r="K434" s="222"/>
      <c r="L434" s="222"/>
      <c r="M434" s="28" t="s">
        <v>608</v>
      </c>
      <c r="N434" s="19" t="s">
        <v>3973</v>
      </c>
      <c r="O434" s="6" t="s">
        <v>608</v>
      </c>
      <c r="P434" s="222" t="s">
        <v>3894</v>
      </c>
      <c r="Q434" s="46" t="n">
        <f aca="false">Train_In!D26</f>
        <v>4096</v>
      </c>
      <c r="R434" s="175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3872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1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4865</v>
      </c>
      <c r="B435" s="222" t="s">
        <v>4855</v>
      </c>
      <c r="C435" s="28" t="s">
        <v>4856</v>
      </c>
      <c r="D435" s="28" t="s">
        <v>4305</v>
      </c>
      <c r="E435" s="6" t="s">
        <v>967</v>
      </c>
      <c r="F435" s="222" t="s">
        <v>319</v>
      </c>
      <c r="G435" s="222" t="s">
        <v>3835</v>
      </c>
      <c r="H435" s="28" t="s">
        <v>4866</v>
      </c>
      <c r="I435" s="19" t="s">
        <v>3870</v>
      </c>
      <c r="J435" s="28" t="s">
        <v>608</v>
      </c>
      <c r="K435" s="222"/>
      <c r="L435" s="222"/>
      <c r="M435" s="28" t="s">
        <v>608</v>
      </c>
      <c r="N435" s="19" t="s">
        <v>3973</v>
      </c>
      <c r="O435" s="6" t="s">
        <v>608</v>
      </c>
      <c r="P435" s="222" t="s">
        <v>3838</v>
      </c>
      <c r="Q435" s="186" t="n">
        <f aca="false">Train_In!C41</f>
        <v>14.8</v>
      </c>
      <c r="R435" s="175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3872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1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4867</v>
      </c>
      <c r="B436" s="222" t="s">
        <v>4855</v>
      </c>
      <c r="C436" s="28" t="s">
        <v>4856</v>
      </c>
      <c r="D436" s="28" t="s">
        <v>4868</v>
      </c>
      <c r="E436" s="6" t="s">
        <v>969</v>
      </c>
      <c r="F436" s="222" t="s">
        <v>319</v>
      </c>
      <c r="G436" s="222" t="s">
        <v>3835</v>
      </c>
      <c r="H436" s="28" t="s">
        <v>4869</v>
      </c>
      <c r="I436" s="19" t="s">
        <v>3870</v>
      </c>
      <c r="J436" s="28" t="s">
        <v>608</v>
      </c>
      <c r="K436" s="222"/>
      <c r="L436" s="222"/>
      <c r="M436" s="28" t="s">
        <v>608</v>
      </c>
      <c r="N436" s="19" t="s">
        <v>3973</v>
      </c>
      <c r="O436" s="6" t="s">
        <v>608</v>
      </c>
      <c r="P436" s="222" t="s">
        <v>3838</v>
      </c>
      <c r="Q436" s="43" t="n">
        <f aca="false">Train_In!C42</f>
        <v>2.664</v>
      </c>
      <c r="R436" s="175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3872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1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4870</v>
      </c>
      <c r="B437" s="222" t="s">
        <v>4855</v>
      </c>
      <c r="C437" s="28" t="s">
        <v>4856</v>
      </c>
      <c r="D437" s="28" t="s">
        <v>4871</v>
      </c>
      <c r="E437" s="6" t="s">
        <v>972</v>
      </c>
      <c r="F437" s="222" t="s">
        <v>319</v>
      </c>
      <c r="G437" s="222" t="s">
        <v>3835</v>
      </c>
      <c r="H437" s="28" t="s">
        <v>4872</v>
      </c>
      <c r="I437" s="19" t="s">
        <v>3870</v>
      </c>
      <c r="J437" s="28" t="s">
        <v>608</v>
      </c>
      <c r="K437" s="222"/>
      <c r="L437" s="222"/>
      <c r="M437" s="28" t="s">
        <v>608</v>
      </c>
      <c r="N437" s="19" t="s">
        <v>3973</v>
      </c>
      <c r="O437" s="6" t="s">
        <v>608</v>
      </c>
      <c r="P437" s="222" t="s">
        <v>3838</v>
      </c>
      <c r="Q437" s="46" t="n">
        <f aca="false">Train_In!C43</f>
        <v>4096</v>
      </c>
      <c r="R437" s="175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3872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1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4873</v>
      </c>
      <c r="B438" s="222" t="s">
        <v>4855</v>
      </c>
      <c r="C438" s="28" t="s">
        <v>4856</v>
      </c>
      <c r="D438" s="28" t="s">
        <v>4874</v>
      </c>
      <c r="E438" s="6" t="s">
        <v>976</v>
      </c>
      <c r="F438" s="222" t="s">
        <v>319</v>
      </c>
      <c r="G438" s="222" t="s">
        <v>3835</v>
      </c>
      <c r="H438" s="28" t="s">
        <v>2870</v>
      </c>
      <c r="I438" s="19" t="s">
        <v>3870</v>
      </c>
      <c r="J438" s="28" t="s">
        <v>608</v>
      </c>
      <c r="K438" s="222"/>
      <c r="L438" s="222"/>
      <c r="M438" s="28" t="s">
        <v>608</v>
      </c>
      <c r="N438" s="19" t="s">
        <v>3973</v>
      </c>
      <c r="O438" s="6" t="s">
        <v>608</v>
      </c>
      <c r="P438" s="222" t="s">
        <v>3838</v>
      </c>
      <c r="Q438" s="190" t="n">
        <f aca="false">Train_In!C45</f>
        <v>1</v>
      </c>
      <c r="R438" s="175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3872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1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4875</v>
      </c>
      <c r="B439" s="222" t="s">
        <v>4855</v>
      </c>
      <c r="C439" s="28" t="s">
        <v>24</v>
      </c>
      <c r="D439" s="28" t="s">
        <v>4876</v>
      </c>
      <c r="E439" s="6" t="s">
        <v>655</v>
      </c>
      <c r="F439" s="222" t="s">
        <v>319</v>
      </c>
      <c r="G439" s="222" t="s">
        <v>3835</v>
      </c>
      <c r="H439" s="28" t="s">
        <v>4877</v>
      </c>
      <c r="I439" s="19" t="s">
        <v>4878</v>
      </c>
      <c r="J439" s="28" t="s">
        <v>608</v>
      </c>
      <c r="K439" s="222"/>
      <c r="L439" s="222"/>
      <c r="M439" s="28" t="s">
        <v>608</v>
      </c>
      <c r="N439" s="6" t="s">
        <v>4879</v>
      </c>
      <c r="O439" s="6" t="s">
        <v>608</v>
      </c>
      <c r="P439" s="222" t="s">
        <v>3838</v>
      </c>
      <c r="Q439" s="31" t="n">
        <f aca="false">Tech_Registry!J14</f>
        <v>4</v>
      </c>
      <c r="R439" s="175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3872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1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4880</v>
      </c>
      <c r="B440" s="222" t="s">
        <v>3833</v>
      </c>
      <c r="C440" s="28" t="s">
        <v>4320</v>
      </c>
      <c r="D440" s="28" t="s">
        <v>4240</v>
      </c>
      <c r="E440" s="19" t="s">
        <v>4881</v>
      </c>
      <c r="F440" s="28" t="s">
        <v>94</v>
      </c>
      <c r="G440" s="222" t="s">
        <v>3835</v>
      </c>
      <c r="H440" s="28" t="s">
        <v>608</v>
      </c>
      <c r="I440" s="6" t="s">
        <v>608</v>
      </c>
      <c r="J440" s="28" t="s">
        <v>608</v>
      </c>
      <c r="K440" s="222"/>
      <c r="L440" s="222"/>
      <c r="M440" s="222" t="s">
        <v>3731</v>
      </c>
      <c r="N440" s="19" t="s">
        <v>4882</v>
      </c>
      <c r="O440" s="6" t="s">
        <v>608</v>
      </c>
      <c r="P440" s="222" t="s">
        <v>3838</v>
      </c>
      <c r="Q440" s="46" t="n">
        <f aca="false">Arch!C32</f>
        <v>128000</v>
      </c>
      <c r="R440" s="28" t="s">
        <v>608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3839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1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4883</v>
      </c>
      <c r="B441" s="222" t="s">
        <v>4884</v>
      </c>
      <c r="C441" s="28" t="s">
        <v>4885</v>
      </c>
      <c r="D441" s="28" t="s">
        <v>4886</v>
      </c>
      <c r="E441" s="19" t="s">
        <v>4887</v>
      </c>
      <c r="F441" s="222" t="s">
        <v>369</v>
      </c>
      <c r="G441" s="222" t="s">
        <v>4589</v>
      </c>
      <c r="H441" s="28" t="s">
        <v>608</v>
      </c>
      <c r="I441" s="6" t="s">
        <v>608</v>
      </c>
      <c r="J441" s="28" t="s">
        <v>608</v>
      </c>
      <c r="K441" s="222"/>
      <c r="L441" s="222"/>
      <c r="M441" s="28" t="s">
        <v>608</v>
      </c>
      <c r="N441" s="6" t="s">
        <v>4888</v>
      </c>
      <c r="O441" s="6" t="s">
        <v>608</v>
      </c>
      <c r="P441" s="28" t="s">
        <v>608</v>
      </c>
      <c r="Q441" s="175" t="s">
        <v>608</v>
      </c>
      <c r="R441" s="28" t="s">
        <v>608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28" t="s">
        <v>608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1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4889</v>
      </c>
      <c r="B442" s="222" t="s">
        <v>4884</v>
      </c>
      <c r="C442" s="28" t="s">
        <v>4885</v>
      </c>
      <c r="D442" s="28" t="s">
        <v>4890</v>
      </c>
      <c r="E442" s="19" t="s">
        <v>4891</v>
      </c>
      <c r="F442" s="222" t="s">
        <v>369</v>
      </c>
      <c r="G442" s="222" t="s">
        <v>4589</v>
      </c>
      <c r="H442" s="28" t="s">
        <v>608</v>
      </c>
      <c r="I442" s="6" t="s">
        <v>608</v>
      </c>
      <c r="J442" s="28" t="s">
        <v>608</v>
      </c>
      <c r="K442" s="222"/>
      <c r="L442" s="222"/>
      <c r="M442" s="28" t="s">
        <v>608</v>
      </c>
      <c r="N442" s="6" t="s">
        <v>4892</v>
      </c>
      <c r="O442" s="6" t="s">
        <v>608</v>
      </c>
      <c r="P442" s="28" t="s">
        <v>608</v>
      </c>
      <c r="Q442" s="175" t="s">
        <v>608</v>
      </c>
      <c r="R442" s="28" t="s">
        <v>608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28" t="s">
        <v>608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1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4893</v>
      </c>
      <c r="B443" s="222" t="s">
        <v>4884</v>
      </c>
      <c r="C443" s="28" t="s">
        <v>4894</v>
      </c>
      <c r="D443" s="28" t="s">
        <v>4895</v>
      </c>
      <c r="E443" s="6" t="s">
        <v>4896</v>
      </c>
      <c r="F443" s="222" t="s">
        <v>369</v>
      </c>
      <c r="G443" s="222" t="s">
        <v>3835</v>
      </c>
      <c r="H443" s="28" t="s">
        <v>608</v>
      </c>
      <c r="I443" s="6" t="s">
        <v>608</v>
      </c>
      <c r="J443" s="28" t="s">
        <v>608</v>
      </c>
      <c r="K443" s="222"/>
      <c r="L443" s="222"/>
      <c r="M443" s="28" t="s">
        <v>608</v>
      </c>
      <c r="N443" s="6" t="s">
        <v>4897</v>
      </c>
      <c r="O443" s="6" t="s">
        <v>608</v>
      </c>
      <c r="P443" s="222" t="s">
        <v>3838</v>
      </c>
      <c r="Q443" s="183" t="n">
        <f aca="false">Sens_Rev!B18</f>
        <v>0.5</v>
      </c>
      <c r="R443" s="28" t="s">
        <v>608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3839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1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4898</v>
      </c>
      <c r="B444" s="222" t="s">
        <v>4884</v>
      </c>
      <c r="C444" s="28" t="s">
        <v>24</v>
      </c>
      <c r="D444" s="28" t="s">
        <v>4899</v>
      </c>
      <c r="E444" s="19" t="s">
        <v>4900</v>
      </c>
      <c r="F444" s="28" t="s">
        <v>86</v>
      </c>
      <c r="G444" s="222" t="s">
        <v>3835</v>
      </c>
      <c r="H444" s="28" t="s">
        <v>608</v>
      </c>
      <c r="I444" s="6" t="s">
        <v>608</v>
      </c>
      <c r="J444" s="28" t="s">
        <v>4876</v>
      </c>
      <c r="K444" s="222"/>
      <c r="L444" s="222"/>
      <c r="M444" s="28" t="s">
        <v>608</v>
      </c>
      <c r="N444" s="6" t="s">
        <v>4901</v>
      </c>
      <c r="O444" s="6" t="s">
        <v>608</v>
      </c>
      <c r="P444" s="222" t="s">
        <v>3838</v>
      </c>
      <c r="Q444" s="31" t="n">
        <f aca="false">Tech_Registry!J17</f>
        <v>2</v>
      </c>
      <c r="R444" s="28" t="s">
        <v>608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3839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1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4902</v>
      </c>
      <c r="B445" s="222" t="s">
        <v>4903</v>
      </c>
      <c r="C445" s="28" t="s">
        <v>4904</v>
      </c>
      <c r="D445" s="28" t="s">
        <v>4077</v>
      </c>
      <c r="E445" s="19" t="s">
        <v>4905</v>
      </c>
      <c r="F445" s="28" t="s">
        <v>94</v>
      </c>
      <c r="G445" s="222" t="s">
        <v>79</v>
      </c>
      <c r="H445" s="28" t="s">
        <v>608</v>
      </c>
      <c r="I445" s="6" t="s">
        <v>608</v>
      </c>
      <c r="J445" s="28" t="s">
        <v>608</v>
      </c>
      <c r="K445" s="185" t="n">
        <f aca="false">Cap_In!D12</f>
        <v>0.1</v>
      </c>
      <c r="L445" s="185" t="n">
        <f aca="false">Cap_In!E12</f>
        <v>0.4</v>
      </c>
      <c r="M445" s="28" t="s">
        <v>4906</v>
      </c>
      <c r="N445" s="19" t="s">
        <v>4907</v>
      </c>
      <c r="O445" s="6" t="s">
        <v>608</v>
      </c>
      <c r="P445" s="222" t="s">
        <v>3894</v>
      </c>
      <c r="Q445" s="185" t="n">
        <f aca="false">Cap_In!C12</f>
        <v>0.2</v>
      </c>
      <c r="R445" s="28" t="s">
        <v>608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3839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1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4908</v>
      </c>
      <c r="B446" s="222" t="s">
        <v>4903</v>
      </c>
      <c r="C446" s="28" t="s">
        <v>4904</v>
      </c>
      <c r="D446" s="28" t="s">
        <v>4909</v>
      </c>
      <c r="E446" s="19" t="s">
        <v>4905</v>
      </c>
      <c r="F446" s="28" t="s">
        <v>94</v>
      </c>
      <c r="G446" s="222" t="s">
        <v>4910</v>
      </c>
      <c r="H446" s="28" t="s">
        <v>608</v>
      </c>
      <c r="I446" s="6" t="s">
        <v>608</v>
      </c>
      <c r="J446" s="28" t="s">
        <v>608</v>
      </c>
      <c r="K446" s="222"/>
      <c r="L446" s="222"/>
      <c r="M446" s="28" t="s">
        <v>4911</v>
      </c>
      <c r="N446" s="19" t="s">
        <v>4907</v>
      </c>
      <c r="O446" s="6" t="s">
        <v>608</v>
      </c>
      <c r="P446" s="222" t="s">
        <v>3894</v>
      </c>
      <c r="Q446" s="175" t="s">
        <v>608</v>
      </c>
      <c r="R446" s="28" t="s">
        <v>608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28" t="s">
        <v>608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1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4912</v>
      </c>
      <c r="B447" s="222" t="s">
        <v>4903</v>
      </c>
      <c r="C447" s="28" t="s">
        <v>4904</v>
      </c>
      <c r="D447" s="28" t="s">
        <v>4097</v>
      </c>
      <c r="E447" s="19" t="s">
        <v>4913</v>
      </c>
      <c r="F447" s="28" t="s">
        <v>94</v>
      </c>
      <c r="G447" s="222" t="s">
        <v>79</v>
      </c>
      <c r="H447" s="28" t="s">
        <v>608</v>
      </c>
      <c r="I447" s="6" t="s">
        <v>608</v>
      </c>
      <c r="J447" s="28" t="s">
        <v>608</v>
      </c>
      <c r="K447" s="185" t="n">
        <f aca="false">Cap_In!D13</f>
        <v>0.3</v>
      </c>
      <c r="L447" s="185" t="n">
        <f aca="false">Cap_In!E13</f>
        <v>0.75</v>
      </c>
      <c r="M447" s="28" t="s">
        <v>608</v>
      </c>
      <c r="N447" s="19" t="s">
        <v>4914</v>
      </c>
      <c r="O447" s="6" t="s">
        <v>608</v>
      </c>
      <c r="P447" s="222" t="s">
        <v>3894</v>
      </c>
      <c r="Q447" s="185" t="n">
        <f aca="false">Cap_In!C13</f>
        <v>0.55</v>
      </c>
      <c r="R447" s="28" t="s">
        <v>608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3839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1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4915</v>
      </c>
      <c r="B448" s="222" t="s">
        <v>4903</v>
      </c>
      <c r="C448" s="28" t="s">
        <v>4904</v>
      </c>
      <c r="D448" s="28" t="s">
        <v>4916</v>
      </c>
      <c r="E448" s="19" t="s">
        <v>4913</v>
      </c>
      <c r="F448" s="28" t="s">
        <v>94</v>
      </c>
      <c r="G448" s="222" t="s">
        <v>4910</v>
      </c>
      <c r="H448" s="28" t="s">
        <v>608</v>
      </c>
      <c r="I448" s="6" t="s">
        <v>608</v>
      </c>
      <c r="J448" s="28" t="s">
        <v>608</v>
      </c>
      <c r="K448" s="222"/>
      <c r="L448" s="222"/>
      <c r="M448" s="28" t="s">
        <v>4917</v>
      </c>
      <c r="N448" s="19" t="s">
        <v>4914</v>
      </c>
      <c r="O448" s="6" t="s">
        <v>608</v>
      </c>
      <c r="P448" s="222" t="s">
        <v>3894</v>
      </c>
      <c r="Q448" s="175" t="s">
        <v>608</v>
      </c>
      <c r="R448" s="28" t="s">
        <v>608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28" t="s">
        <v>608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1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4918</v>
      </c>
      <c r="B449" s="222" t="s">
        <v>4903</v>
      </c>
      <c r="C449" s="28" t="s">
        <v>4904</v>
      </c>
      <c r="D449" s="28" t="s">
        <v>4346</v>
      </c>
      <c r="E449" s="19" t="s">
        <v>4919</v>
      </c>
      <c r="F449" s="28" t="s">
        <v>86</v>
      </c>
      <c r="G449" s="222" t="s">
        <v>79</v>
      </c>
      <c r="H449" s="28" t="s">
        <v>608</v>
      </c>
      <c r="I449" s="6" t="s">
        <v>608</v>
      </c>
      <c r="J449" s="28" t="s">
        <v>3770</v>
      </c>
      <c r="K449" s="183" t="n">
        <f aca="false">Cap_In!D14</f>
        <v>0</v>
      </c>
      <c r="L449" s="183" t="n">
        <f aca="false">Cap_In!E14</f>
        <v>0.5</v>
      </c>
      <c r="M449" s="28" t="s">
        <v>608</v>
      </c>
      <c r="N449" s="6" t="s">
        <v>4920</v>
      </c>
      <c r="O449" s="6" t="s">
        <v>608</v>
      </c>
      <c r="P449" s="222" t="s">
        <v>3838</v>
      </c>
      <c r="Q449" s="183" t="n">
        <f aca="false">Cap_In!C14</f>
        <v>0</v>
      </c>
      <c r="R449" s="28" t="s">
        <v>608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3839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1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4921</v>
      </c>
      <c r="B450" s="222" t="s">
        <v>4903</v>
      </c>
      <c r="C450" s="28" t="s">
        <v>4904</v>
      </c>
      <c r="D450" s="28" t="s">
        <v>4922</v>
      </c>
      <c r="E450" s="19" t="s">
        <v>4919</v>
      </c>
      <c r="F450" s="28" t="s">
        <v>86</v>
      </c>
      <c r="G450" s="222" t="s">
        <v>4910</v>
      </c>
      <c r="H450" s="28" t="s">
        <v>608</v>
      </c>
      <c r="I450" s="6" t="s">
        <v>608</v>
      </c>
      <c r="J450" s="28" t="s">
        <v>3770</v>
      </c>
      <c r="K450" s="222"/>
      <c r="L450" s="222"/>
      <c r="M450" s="28" t="s">
        <v>4923</v>
      </c>
      <c r="N450" s="6" t="s">
        <v>4920</v>
      </c>
      <c r="O450" s="6" t="s">
        <v>608</v>
      </c>
      <c r="P450" s="222" t="s">
        <v>3838</v>
      </c>
      <c r="Q450" s="175" t="s">
        <v>608</v>
      </c>
      <c r="R450" s="28" t="s">
        <v>608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28" t="s">
        <v>608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1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4924</v>
      </c>
      <c r="B451" s="222" t="s">
        <v>4903</v>
      </c>
      <c r="C451" s="28" t="s">
        <v>4904</v>
      </c>
      <c r="D451" s="28" t="s">
        <v>4350</v>
      </c>
      <c r="E451" s="19" t="s">
        <v>4925</v>
      </c>
      <c r="F451" s="222" t="s">
        <v>369</v>
      </c>
      <c r="G451" s="222" t="s">
        <v>79</v>
      </c>
      <c r="H451" s="28" t="s">
        <v>608</v>
      </c>
      <c r="I451" s="6" t="s">
        <v>608</v>
      </c>
      <c r="J451" s="28" t="s">
        <v>608</v>
      </c>
      <c r="K451" s="183" t="n">
        <f aca="false">Cap_In!D15</f>
        <v>0.5</v>
      </c>
      <c r="L451" s="183" t="n">
        <f aca="false">Cap_In!E15</f>
        <v>7</v>
      </c>
      <c r="M451" s="28" t="s">
        <v>608</v>
      </c>
      <c r="N451" s="19" t="s">
        <v>4926</v>
      </c>
      <c r="O451" s="6" t="s">
        <v>608</v>
      </c>
      <c r="P451" s="222" t="s">
        <v>3838</v>
      </c>
      <c r="Q451" s="183" t="n">
        <f aca="false">Cap_In!C15</f>
        <v>1</v>
      </c>
      <c r="R451" s="28" t="s">
        <v>608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3839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1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4927</v>
      </c>
      <c r="B452" s="222" t="s">
        <v>4903</v>
      </c>
      <c r="C452" s="28" t="s">
        <v>4904</v>
      </c>
      <c r="D452" s="28" t="s">
        <v>4928</v>
      </c>
      <c r="E452" s="19" t="s">
        <v>4925</v>
      </c>
      <c r="F452" s="222" t="s">
        <v>369</v>
      </c>
      <c r="G452" s="222" t="s">
        <v>4910</v>
      </c>
      <c r="H452" s="28" t="s">
        <v>608</v>
      </c>
      <c r="I452" s="6" t="s">
        <v>608</v>
      </c>
      <c r="J452" s="28" t="s">
        <v>608</v>
      </c>
      <c r="K452" s="222"/>
      <c r="L452" s="222"/>
      <c r="M452" s="28" t="s">
        <v>4929</v>
      </c>
      <c r="N452" s="19" t="s">
        <v>4926</v>
      </c>
      <c r="O452" s="6" t="s">
        <v>608</v>
      </c>
      <c r="P452" s="222" t="s">
        <v>3838</v>
      </c>
      <c r="Q452" s="175" t="s">
        <v>608</v>
      </c>
      <c r="R452" s="28" t="s">
        <v>608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28" t="s">
        <v>608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1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4930</v>
      </c>
      <c r="B453" s="222" t="s">
        <v>4903</v>
      </c>
      <c r="C453" s="28" t="s">
        <v>4904</v>
      </c>
      <c r="D453" s="28" t="s">
        <v>4931</v>
      </c>
      <c r="E453" s="19" t="s">
        <v>4932</v>
      </c>
      <c r="F453" s="28" t="s">
        <v>86</v>
      </c>
      <c r="G453" s="222" t="s">
        <v>4589</v>
      </c>
      <c r="H453" s="28" t="s">
        <v>608</v>
      </c>
      <c r="I453" s="6" t="s">
        <v>608</v>
      </c>
      <c r="J453" s="28" t="s">
        <v>4933</v>
      </c>
      <c r="K453" s="222"/>
      <c r="L453" s="222"/>
      <c r="M453" s="28" t="s">
        <v>608</v>
      </c>
      <c r="N453" s="6" t="s">
        <v>4934</v>
      </c>
      <c r="O453" s="6" t="s">
        <v>608</v>
      </c>
      <c r="P453" s="222" t="s">
        <v>3838</v>
      </c>
      <c r="Q453" s="175" t="s">
        <v>608</v>
      </c>
      <c r="R453" s="28" t="s">
        <v>608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28" t="s">
        <v>608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1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4935</v>
      </c>
      <c r="B454" s="222" t="s">
        <v>4903</v>
      </c>
      <c r="C454" s="28" t="s">
        <v>4904</v>
      </c>
      <c r="D454" s="28" t="s">
        <v>4936</v>
      </c>
      <c r="E454" s="19" t="s">
        <v>1155</v>
      </c>
      <c r="F454" s="28" t="s">
        <v>94</v>
      </c>
      <c r="G454" s="222" t="s">
        <v>4589</v>
      </c>
      <c r="H454" s="28" t="s">
        <v>608</v>
      </c>
      <c r="I454" s="6" t="s">
        <v>608</v>
      </c>
      <c r="J454" s="28" t="s">
        <v>3773</v>
      </c>
      <c r="K454" s="222"/>
      <c r="L454" s="222"/>
      <c r="M454" s="222" t="s">
        <v>4937</v>
      </c>
      <c r="N454" s="6" t="s">
        <v>4938</v>
      </c>
      <c r="O454" s="6" t="s">
        <v>608</v>
      </c>
      <c r="P454" s="222" t="s">
        <v>3838</v>
      </c>
      <c r="Q454" s="175" t="s">
        <v>608</v>
      </c>
      <c r="R454" s="28" t="s">
        <v>608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28" t="s">
        <v>608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1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4939</v>
      </c>
      <c r="B455" s="222" t="s">
        <v>4903</v>
      </c>
      <c r="C455" s="28" t="s">
        <v>4904</v>
      </c>
      <c r="D455" s="28" t="s">
        <v>4940</v>
      </c>
      <c r="E455" s="19" t="s">
        <v>1158</v>
      </c>
      <c r="F455" s="28" t="s">
        <v>94</v>
      </c>
      <c r="G455" s="222" t="s">
        <v>1137</v>
      </c>
      <c r="H455" s="28" t="s">
        <v>608</v>
      </c>
      <c r="I455" s="6" t="s">
        <v>608</v>
      </c>
      <c r="J455" s="28" t="s">
        <v>3773</v>
      </c>
      <c r="K455" s="222"/>
      <c r="L455" s="222"/>
      <c r="M455" s="28" t="s">
        <v>608</v>
      </c>
      <c r="N455" s="6" t="s">
        <v>4938</v>
      </c>
      <c r="O455" s="6" t="s">
        <v>608</v>
      </c>
      <c r="P455" s="222" t="s">
        <v>3838</v>
      </c>
      <c r="Q455" s="175" t="s">
        <v>608</v>
      </c>
      <c r="R455" s="28" t="s">
        <v>608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28" t="s">
        <v>608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1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4941</v>
      </c>
      <c r="B456" s="222" t="s">
        <v>4903</v>
      </c>
      <c r="C456" s="28" t="s">
        <v>4904</v>
      </c>
      <c r="D456" s="28" t="s">
        <v>4942</v>
      </c>
      <c r="E456" s="19" t="s">
        <v>1159</v>
      </c>
      <c r="F456" s="28" t="s">
        <v>94</v>
      </c>
      <c r="G456" s="222" t="s">
        <v>1138</v>
      </c>
      <c r="H456" s="28" t="s">
        <v>608</v>
      </c>
      <c r="I456" s="6" t="s">
        <v>608</v>
      </c>
      <c r="J456" s="28" t="s">
        <v>3773</v>
      </c>
      <c r="K456" s="222"/>
      <c r="L456" s="222"/>
      <c r="M456" s="28" t="s">
        <v>608</v>
      </c>
      <c r="N456" s="6" t="s">
        <v>4938</v>
      </c>
      <c r="O456" s="6" t="s">
        <v>608</v>
      </c>
      <c r="P456" s="222" t="s">
        <v>3838</v>
      </c>
      <c r="Q456" s="175" t="s">
        <v>608</v>
      </c>
      <c r="R456" s="28" t="s">
        <v>608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28" t="s">
        <v>608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1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4943</v>
      </c>
      <c r="B457" s="222" t="s">
        <v>4903</v>
      </c>
      <c r="C457" s="28" t="s">
        <v>4904</v>
      </c>
      <c r="D457" s="28" t="s">
        <v>4191</v>
      </c>
      <c r="E457" s="19" t="s">
        <v>1161</v>
      </c>
      <c r="F457" s="222" t="s">
        <v>4026</v>
      </c>
      <c r="G457" s="222" t="s">
        <v>79</v>
      </c>
      <c r="H457" s="28" t="s">
        <v>2977</v>
      </c>
      <c r="I457" s="19" t="s">
        <v>4944</v>
      </c>
      <c r="J457" s="28" t="s">
        <v>3779</v>
      </c>
      <c r="K457" s="185" t="n">
        <f aca="false">Cap_In!D28</f>
        <v>0.3</v>
      </c>
      <c r="L457" s="185" t="n">
        <f aca="false">Cap_In!E28</f>
        <v>0.6</v>
      </c>
      <c r="M457" s="28" t="s">
        <v>608</v>
      </c>
      <c r="N457" s="19" t="s">
        <v>4945</v>
      </c>
      <c r="O457" s="6" t="s">
        <v>4946</v>
      </c>
      <c r="P457" s="222" t="s">
        <v>1138</v>
      </c>
      <c r="Q457" s="185" t="n">
        <f aca="false">Cap_In!C28</f>
        <v>0.41</v>
      </c>
      <c r="R457" s="175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3839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1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4947</v>
      </c>
      <c r="B458" s="222" t="s">
        <v>4903</v>
      </c>
      <c r="C458" s="28" t="s">
        <v>4904</v>
      </c>
      <c r="D458" s="28" t="s">
        <v>4948</v>
      </c>
      <c r="E458" s="19" t="s">
        <v>1161</v>
      </c>
      <c r="F458" s="28" t="s">
        <v>94</v>
      </c>
      <c r="G458" s="222" t="s">
        <v>4910</v>
      </c>
      <c r="H458" s="28" t="s">
        <v>608</v>
      </c>
      <c r="I458" s="6" t="s">
        <v>608</v>
      </c>
      <c r="J458" s="28" t="s">
        <v>3779</v>
      </c>
      <c r="K458" s="222"/>
      <c r="L458" s="222"/>
      <c r="M458" s="28" t="s">
        <v>4949</v>
      </c>
      <c r="N458" s="6" t="s">
        <v>4950</v>
      </c>
      <c r="O458" s="6" t="s">
        <v>608</v>
      </c>
      <c r="P458" s="222" t="s">
        <v>1138</v>
      </c>
      <c r="Q458" s="175" t="s">
        <v>608</v>
      </c>
      <c r="R458" s="28" t="s">
        <v>608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28" t="s">
        <v>608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1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4951</v>
      </c>
      <c r="B459" s="222" t="s">
        <v>4903</v>
      </c>
      <c r="C459" s="28" t="s">
        <v>4904</v>
      </c>
      <c r="D459" s="28" t="s">
        <v>4201</v>
      </c>
      <c r="E459" s="19" t="s">
        <v>1164</v>
      </c>
      <c r="F459" s="222" t="s">
        <v>4026</v>
      </c>
      <c r="G459" s="222" t="s">
        <v>79</v>
      </c>
      <c r="H459" s="28" t="s">
        <v>2986</v>
      </c>
      <c r="I459" s="19" t="s">
        <v>4952</v>
      </c>
      <c r="J459" s="28" t="s">
        <v>3779</v>
      </c>
      <c r="K459" s="185" t="n">
        <f aca="false">Cap_In!D29</f>
        <v>0.35</v>
      </c>
      <c r="L459" s="185" t="n">
        <f aca="false">Cap_In!E29</f>
        <v>0.6</v>
      </c>
      <c r="M459" s="28" t="s">
        <v>608</v>
      </c>
      <c r="N459" s="19" t="s">
        <v>4953</v>
      </c>
      <c r="O459" s="6" t="s">
        <v>4954</v>
      </c>
      <c r="P459" s="222" t="s">
        <v>1138</v>
      </c>
      <c r="Q459" s="185" t="n">
        <f aca="false">Cap_In!C29</f>
        <v>0.46</v>
      </c>
      <c r="R459" s="175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3839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1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4955</v>
      </c>
      <c r="B460" s="222" t="s">
        <v>4903</v>
      </c>
      <c r="C460" s="28" t="s">
        <v>4904</v>
      </c>
      <c r="D460" s="28" t="s">
        <v>4956</v>
      </c>
      <c r="E460" s="19" t="s">
        <v>1164</v>
      </c>
      <c r="F460" s="28" t="s">
        <v>94</v>
      </c>
      <c r="G460" s="222" t="s">
        <v>4910</v>
      </c>
      <c r="H460" s="28" t="s">
        <v>608</v>
      </c>
      <c r="I460" s="6" t="s">
        <v>608</v>
      </c>
      <c r="J460" s="28" t="s">
        <v>3779</v>
      </c>
      <c r="K460" s="222"/>
      <c r="L460" s="222"/>
      <c r="M460" s="28" t="s">
        <v>4957</v>
      </c>
      <c r="N460" s="6" t="s">
        <v>4958</v>
      </c>
      <c r="O460" s="6" t="s">
        <v>608</v>
      </c>
      <c r="P460" s="222" t="s">
        <v>1138</v>
      </c>
      <c r="Q460" s="175" t="s">
        <v>608</v>
      </c>
      <c r="R460" s="28" t="s">
        <v>608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28" t="s">
        <v>608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1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4959</v>
      </c>
      <c r="B461" s="222" t="s">
        <v>4903</v>
      </c>
      <c r="C461" s="28" t="s">
        <v>4904</v>
      </c>
      <c r="D461" s="28" t="s">
        <v>4960</v>
      </c>
      <c r="E461" s="19" t="s">
        <v>4961</v>
      </c>
      <c r="F461" s="28" t="s">
        <v>94</v>
      </c>
      <c r="G461" s="222" t="s">
        <v>4589</v>
      </c>
      <c r="H461" s="28" t="s">
        <v>608</v>
      </c>
      <c r="I461" s="6" t="s">
        <v>608</v>
      </c>
      <c r="J461" s="28" t="s">
        <v>3779</v>
      </c>
      <c r="K461" s="222"/>
      <c r="L461" s="222"/>
      <c r="M461" s="222" t="s">
        <v>4962</v>
      </c>
      <c r="N461" s="6" t="s">
        <v>4963</v>
      </c>
      <c r="O461" s="6" t="s">
        <v>608</v>
      </c>
      <c r="P461" s="222" t="s">
        <v>3838</v>
      </c>
      <c r="Q461" s="175" t="s">
        <v>608</v>
      </c>
      <c r="R461" s="28" t="s">
        <v>608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28" t="s">
        <v>608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1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4964</v>
      </c>
      <c r="B462" s="222" t="s">
        <v>4903</v>
      </c>
      <c r="C462" s="28" t="s">
        <v>4904</v>
      </c>
      <c r="D462" s="28" t="s">
        <v>4965</v>
      </c>
      <c r="E462" s="19" t="s">
        <v>4966</v>
      </c>
      <c r="F462" s="28" t="s">
        <v>94</v>
      </c>
      <c r="G462" s="222" t="s">
        <v>4589</v>
      </c>
      <c r="H462" s="28" t="s">
        <v>608</v>
      </c>
      <c r="I462" s="6" t="s">
        <v>608</v>
      </c>
      <c r="J462" s="28" t="s">
        <v>3779</v>
      </c>
      <c r="K462" s="222"/>
      <c r="L462" s="222"/>
      <c r="M462" s="28" t="s">
        <v>4967</v>
      </c>
      <c r="N462" s="6" t="s">
        <v>4968</v>
      </c>
      <c r="O462" s="6" t="s">
        <v>608</v>
      </c>
      <c r="P462" s="222" t="s">
        <v>3838</v>
      </c>
      <c r="Q462" s="175" t="s">
        <v>608</v>
      </c>
      <c r="R462" s="28" t="s">
        <v>608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28" t="s">
        <v>608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1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4969</v>
      </c>
      <c r="B463" s="222" t="s">
        <v>4903</v>
      </c>
      <c r="C463" s="28" t="s">
        <v>4904</v>
      </c>
      <c r="D463" s="28" t="s">
        <v>4970</v>
      </c>
      <c r="E463" s="19" t="s">
        <v>4971</v>
      </c>
      <c r="F463" s="28" t="s">
        <v>94</v>
      </c>
      <c r="G463" s="222" t="s">
        <v>79</v>
      </c>
      <c r="H463" s="28" t="s">
        <v>608</v>
      </c>
      <c r="I463" s="6" t="s">
        <v>608</v>
      </c>
      <c r="J463" s="28" t="s">
        <v>4972</v>
      </c>
      <c r="K463" s="31" t="n">
        <f aca="false">Cap_In!D36</f>
        <v>1</v>
      </c>
      <c r="L463" s="31" t="n">
        <f aca="false">Cap_In!E36</f>
        <v>3</v>
      </c>
      <c r="M463" s="28" t="s">
        <v>608</v>
      </c>
      <c r="N463" s="6" t="s">
        <v>4973</v>
      </c>
      <c r="O463" s="6" t="s">
        <v>608</v>
      </c>
      <c r="P463" s="222" t="s">
        <v>1138</v>
      </c>
      <c r="Q463" s="31" t="n">
        <f aca="false">Cap_In!C36</f>
        <v>2</v>
      </c>
      <c r="R463" s="28" t="s">
        <v>608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3839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1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4974</v>
      </c>
      <c r="B464" s="222" t="s">
        <v>4903</v>
      </c>
      <c r="C464" s="28" t="s">
        <v>4904</v>
      </c>
      <c r="D464" s="28" t="s">
        <v>4975</v>
      </c>
      <c r="E464" s="19" t="s">
        <v>4971</v>
      </c>
      <c r="F464" s="28" t="s">
        <v>94</v>
      </c>
      <c r="G464" s="222" t="s">
        <v>4910</v>
      </c>
      <c r="H464" s="28" t="s">
        <v>608</v>
      </c>
      <c r="I464" s="6" t="s">
        <v>608</v>
      </c>
      <c r="J464" s="28" t="s">
        <v>4972</v>
      </c>
      <c r="K464" s="222"/>
      <c r="L464" s="222"/>
      <c r="M464" s="28" t="s">
        <v>4976</v>
      </c>
      <c r="N464" s="6" t="s">
        <v>4977</v>
      </c>
      <c r="O464" s="6" t="s">
        <v>608</v>
      </c>
      <c r="P464" s="222" t="s">
        <v>3838</v>
      </c>
      <c r="Q464" s="175" t="s">
        <v>608</v>
      </c>
      <c r="R464" s="28" t="s">
        <v>608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28" t="s">
        <v>608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1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4978</v>
      </c>
      <c r="B465" s="222" t="s">
        <v>4903</v>
      </c>
      <c r="C465" s="28" t="s">
        <v>4904</v>
      </c>
      <c r="D465" s="28" t="s">
        <v>4979</v>
      </c>
      <c r="E465" s="19" t="s">
        <v>1173</v>
      </c>
      <c r="F465" s="28" t="s">
        <v>94</v>
      </c>
      <c r="G465" s="222" t="s">
        <v>79</v>
      </c>
      <c r="H465" s="28" t="s">
        <v>608</v>
      </c>
      <c r="I465" s="6" t="s">
        <v>608</v>
      </c>
      <c r="J465" s="28" t="s">
        <v>4972</v>
      </c>
      <c r="K465" s="205" t="n">
        <f aca="false">Cap_In!D37</f>
        <v>0.0833333333333333</v>
      </c>
      <c r="L465" s="205" t="n">
        <f aca="false">Cap_In!E37</f>
        <v>1</v>
      </c>
      <c r="M465" s="28" t="s">
        <v>608</v>
      </c>
      <c r="N465" s="6" t="s">
        <v>4980</v>
      </c>
      <c r="O465" s="6" t="s">
        <v>4981</v>
      </c>
      <c r="P465" s="222" t="s">
        <v>1137</v>
      </c>
      <c r="Q465" s="205" t="n">
        <f aca="false">Cap_In!C37</f>
        <v>0.0833333333333333</v>
      </c>
      <c r="R465" s="28" t="s">
        <v>608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3839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1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4982</v>
      </c>
      <c r="B466" s="222" t="s">
        <v>4903</v>
      </c>
      <c r="C466" s="28" t="s">
        <v>4904</v>
      </c>
      <c r="D466" s="28" t="s">
        <v>4983</v>
      </c>
      <c r="E466" s="19" t="s">
        <v>1173</v>
      </c>
      <c r="F466" s="28" t="s">
        <v>94</v>
      </c>
      <c r="G466" s="222" t="s">
        <v>4910</v>
      </c>
      <c r="H466" s="28" t="s">
        <v>608</v>
      </c>
      <c r="I466" s="6" t="s">
        <v>608</v>
      </c>
      <c r="J466" s="28" t="s">
        <v>4972</v>
      </c>
      <c r="K466" s="222"/>
      <c r="L466" s="222"/>
      <c r="M466" s="28" t="s">
        <v>4984</v>
      </c>
      <c r="N466" s="6" t="s">
        <v>4985</v>
      </c>
      <c r="O466" s="6" t="s">
        <v>608</v>
      </c>
      <c r="P466" s="222" t="s">
        <v>1137</v>
      </c>
      <c r="Q466" s="175" t="s">
        <v>608</v>
      </c>
      <c r="R466" s="28" t="s">
        <v>608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28" t="s">
        <v>608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1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4986</v>
      </c>
      <c r="B467" s="222" t="s">
        <v>4903</v>
      </c>
      <c r="C467" s="28" t="s">
        <v>4904</v>
      </c>
      <c r="D467" s="28" t="s">
        <v>4987</v>
      </c>
      <c r="E467" s="19" t="s">
        <v>1175</v>
      </c>
      <c r="F467" s="28" t="s">
        <v>94</v>
      </c>
      <c r="G467" s="222" t="s">
        <v>79</v>
      </c>
      <c r="H467" s="28" t="s">
        <v>608</v>
      </c>
      <c r="I467" s="6" t="s">
        <v>608</v>
      </c>
      <c r="J467" s="28" t="s">
        <v>4972</v>
      </c>
      <c r="K467" s="31" t="n">
        <f aca="false">Cap_In!D38</f>
        <v>1</v>
      </c>
      <c r="L467" s="31" t="n">
        <f aca="false">Cap_In!E38</f>
        <v>20</v>
      </c>
      <c r="M467" s="28" t="s">
        <v>608</v>
      </c>
      <c r="N467" s="6" t="s">
        <v>4988</v>
      </c>
      <c r="O467" s="6" t="s">
        <v>608</v>
      </c>
      <c r="P467" s="222" t="s">
        <v>1137</v>
      </c>
      <c r="Q467" s="31" t="n">
        <f aca="false">Cap_In!C38</f>
        <v>5</v>
      </c>
      <c r="R467" s="28" t="s">
        <v>608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3839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1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4989</v>
      </c>
      <c r="B468" s="222" t="s">
        <v>4903</v>
      </c>
      <c r="C468" s="28" t="s">
        <v>4904</v>
      </c>
      <c r="D468" s="28" t="s">
        <v>4990</v>
      </c>
      <c r="E468" s="19" t="s">
        <v>1175</v>
      </c>
      <c r="F468" s="28" t="s">
        <v>94</v>
      </c>
      <c r="G468" s="222" t="s">
        <v>4910</v>
      </c>
      <c r="H468" s="28" t="s">
        <v>608</v>
      </c>
      <c r="I468" s="6" t="s">
        <v>608</v>
      </c>
      <c r="J468" s="28" t="s">
        <v>4972</v>
      </c>
      <c r="K468" s="222"/>
      <c r="L468" s="222"/>
      <c r="M468" s="28" t="s">
        <v>4991</v>
      </c>
      <c r="N468" s="6" t="s">
        <v>4992</v>
      </c>
      <c r="O468" s="6" t="s">
        <v>608</v>
      </c>
      <c r="P468" s="222" t="s">
        <v>1137</v>
      </c>
      <c r="Q468" s="175" t="s">
        <v>608</v>
      </c>
      <c r="R468" s="28" t="s">
        <v>608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28" t="s">
        <v>608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1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4993</v>
      </c>
      <c r="B469" s="222" t="s">
        <v>4903</v>
      </c>
      <c r="C469" s="28" t="s">
        <v>4904</v>
      </c>
      <c r="D469" s="28" t="s">
        <v>4278</v>
      </c>
      <c r="E469" s="6" t="s">
        <v>1178</v>
      </c>
      <c r="F469" s="28" t="s">
        <v>94</v>
      </c>
      <c r="G469" s="222" t="s">
        <v>79</v>
      </c>
      <c r="H469" s="28" t="s">
        <v>608</v>
      </c>
      <c r="I469" s="6" t="s">
        <v>608</v>
      </c>
      <c r="J469" s="28" t="s">
        <v>608</v>
      </c>
      <c r="K469" s="183" t="n">
        <f aca="false">Cap_In!D39</f>
        <v>5</v>
      </c>
      <c r="L469" s="183" t="n">
        <f aca="false">Cap_In!E39</f>
        <v>20</v>
      </c>
      <c r="M469" s="28" t="s">
        <v>608</v>
      </c>
      <c r="N469" s="6" t="s">
        <v>4994</v>
      </c>
      <c r="O469" s="6" t="s">
        <v>608</v>
      </c>
      <c r="P469" s="222" t="s">
        <v>1137</v>
      </c>
      <c r="Q469" s="183" t="n">
        <f aca="false">Cap_In!C39</f>
        <v>10</v>
      </c>
      <c r="R469" s="28" t="s">
        <v>608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3839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1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4995</v>
      </c>
      <c r="B470" s="222" t="s">
        <v>4903</v>
      </c>
      <c r="C470" s="28" t="s">
        <v>4904</v>
      </c>
      <c r="D470" s="28" t="s">
        <v>4996</v>
      </c>
      <c r="E470" s="6" t="s">
        <v>1178</v>
      </c>
      <c r="F470" s="28" t="s">
        <v>94</v>
      </c>
      <c r="G470" s="222" t="s">
        <v>4910</v>
      </c>
      <c r="H470" s="28" t="s">
        <v>608</v>
      </c>
      <c r="I470" s="6" t="s">
        <v>608</v>
      </c>
      <c r="J470" s="28" t="s">
        <v>608</v>
      </c>
      <c r="K470" s="222"/>
      <c r="L470" s="222"/>
      <c r="M470" s="28" t="s">
        <v>4997</v>
      </c>
      <c r="N470" s="6" t="s">
        <v>4998</v>
      </c>
      <c r="O470" s="6" t="s">
        <v>608</v>
      </c>
      <c r="P470" s="222" t="s">
        <v>1137</v>
      </c>
      <c r="Q470" s="175" t="s">
        <v>608</v>
      </c>
      <c r="R470" s="28" t="s">
        <v>608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28" t="s">
        <v>608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1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4999</v>
      </c>
      <c r="B471" s="222" t="s">
        <v>4903</v>
      </c>
      <c r="C471" s="28" t="s">
        <v>4904</v>
      </c>
      <c r="D471" s="28" t="s">
        <v>4291</v>
      </c>
      <c r="E471" s="6" t="s">
        <v>1181</v>
      </c>
      <c r="F471" s="28" t="s">
        <v>94</v>
      </c>
      <c r="G471" s="222" t="s">
        <v>79</v>
      </c>
      <c r="H471" s="28" t="s">
        <v>608</v>
      </c>
      <c r="I471" s="6" t="s">
        <v>608</v>
      </c>
      <c r="J471" s="28" t="s">
        <v>608</v>
      </c>
      <c r="K471" s="31" t="n">
        <f aca="false">Cap_In!D40</f>
        <v>3</v>
      </c>
      <c r="L471" s="31" t="n">
        <f aca="false">Cap_In!E40</f>
        <v>6</v>
      </c>
      <c r="M471" s="28" t="s">
        <v>608</v>
      </c>
      <c r="N471" s="6" t="s">
        <v>5000</v>
      </c>
      <c r="O471" s="6" t="s">
        <v>608</v>
      </c>
      <c r="P471" s="222" t="s">
        <v>1137</v>
      </c>
      <c r="Q471" s="31" t="n">
        <f aca="false">Cap_In!C40</f>
        <v>4</v>
      </c>
      <c r="R471" s="28" t="s">
        <v>608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3839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1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5001</v>
      </c>
      <c r="B472" s="222" t="s">
        <v>4903</v>
      </c>
      <c r="C472" s="28" t="s">
        <v>4904</v>
      </c>
      <c r="D472" s="28" t="s">
        <v>5002</v>
      </c>
      <c r="E472" s="6" t="s">
        <v>1181</v>
      </c>
      <c r="F472" s="28" t="s">
        <v>94</v>
      </c>
      <c r="G472" s="222" t="s">
        <v>4910</v>
      </c>
      <c r="H472" s="28" t="s">
        <v>608</v>
      </c>
      <c r="I472" s="6" t="s">
        <v>608</v>
      </c>
      <c r="J472" s="28" t="s">
        <v>608</v>
      </c>
      <c r="K472" s="222"/>
      <c r="L472" s="222"/>
      <c r="M472" s="28" t="s">
        <v>5003</v>
      </c>
      <c r="N472" s="6" t="s">
        <v>1181</v>
      </c>
      <c r="O472" s="6" t="s">
        <v>608</v>
      </c>
      <c r="P472" s="222" t="s">
        <v>1137</v>
      </c>
      <c r="Q472" s="175" t="s">
        <v>608</v>
      </c>
      <c r="R472" s="28" t="s">
        <v>608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28" t="s">
        <v>608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1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5004</v>
      </c>
      <c r="B473" s="222" t="s">
        <v>4903</v>
      </c>
      <c r="C473" s="28" t="s">
        <v>4904</v>
      </c>
      <c r="D473" s="28" t="s">
        <v>4305</v>
      </c>
      <c r="E473" s="6" t="s">
        <v>1182</v>
      </c>
      <c r="F473" s="28" t="s">
        <v>94</v>
      </c>
      <c r="G473" s="222" t="s">
        <v>79</v>
      </c>
      <c r="H473" s="28" t="s">
        <v>608</v>
      </c>
      <c r="I473" s="6" t="s">
        <v>608</v>
      </c>
      <c r="J473" s="28" t="s">
        <v>608</v>
      </c>
      <c r="K473" s="183" t="n">
        <f aca="false">Cap_In!D41</f>
        <v>0.05</v>
      </c>
      <c r="L473" s="183" t="n">
        <f aca="false">Cap_In!E41</f>
        <v>0.3</v>
      </c>
      <c r="M473" s="28" t="s">
        <v>608</v>
      </c>
      <c r="N473" s="19" t="s">
        <v>5005</v>
      </c>
      <c r="O473" s="6" t="s">
        <v>608</v>
      </c>
      <c r="P473" s="222" t="s">
        <v>3838</v>
      </c>
      <c r="Q473" s="183" t="n">
        <f aca="false">Cap_In!C41</f>
        <v>0.1</v>
      </c>
      <c r="R473" s="28" t="s">
        <v>608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3839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1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5006</v>
      </c>
      <c r="B474" s="222" t="s">
        <v>4903</v>
      </c>
      <c r="C474" s="28" t="s">
        <v>4904</v>
      </c>
      <c r="D474" s="28" t="s">
        <v>5007</v>
      </c>
      <c r="E474" s="6" t="s">
        <v>1182</v>
      </c>
      <c r="F474" s="28" t="s">
        <v>94</v>
      </c>
      <c r="G474" s="222" t="s">
        <v>4910</v>
      </c>
      <c r="H474" s="28" t="s">
        <v>608</v>
      </c>
      <c r="I474" s="6" t="s">
        <v>608</v>
      </c>
      <c r="J474" s="28" t="s">
        <v>608</v>
      </c>
      <c r="K474" s="222"/>
      <c r="L474" s="222"/>
      <c r="M474" s="28" t="s">
        <v>5008</v>
      </c>
      <c r="N474" s="19" t="s">
        <v>5005</v>
      </c>
      <c r="O474" s="6" t="s">
        <v>608</v>
      </c>
      <c r="P474" s="222" t="s">
        <v>3838</v>
      </c>
      <c r="Q474" s="175" t="s">
        <v>608</v>
      </c>
      <c r="R474" s="28" t="s">
        <v>608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28" t="s">
        <v>608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1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5009</v>
      </c>
      <c r="B475" s="222" t="s">
        <v>4903</v>
      </c>
      <c r="C475" s="28" t="s">
        <v>4904</v>
      </c>
      <c r="D475" s="28" t="s">
        <v>4868</v>
      </c>
      <c r="E475" s="6" t="s">
        <v>1184</v>
      </c>
      <c r="F475" s="28" t="s">
        <v>94</v>
      </c>
      <c r="G475" s="222" t="s">
        <v>79</v>
      </c>
      <c r="H475" s="28" t="s">
        <v>608</v>
      </c>
      <c r="I475" s="6" t="s">
        <v>608</v>
      </c>
      <c r="J475" s="28" t="s">
        <v>608</v>
      </c>
      <c r="K475" s="31" t="n">
        <f aca="false">Cap_In!D42</f>
        <v>3</v>
      </c>
      <c r="L475" s="31" t="n">
        <f aca="false">Cap_In!E42</f>
        <v>6</v>
      </c>
      <c r="M475" s="28" t="s">
        <v>608</v>
      </c>
      <c r="N475" s="6" t="s">
        <v>1184</v>
      </c>
      <c r="O475" s="6" t="s">
        <v>608</v>
      </c>
      <c r="P475" s="222" t="s">
        <v>3838</v>
      </c>
      <c r="Q475" s="31" t="n">
        <f aca="false">Cap_In!C42</f>
        <v>5</v>
      </c>
      <c r="R475" s="28" t="s">
        <v>608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3839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1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5010</v>
      </c>
      <c r="B476" s="222" t="s">
        <v>4903</v>
      </c>
      <c r="C476" s="28" t="s">
        <v>4904</v>
      </c>
      <c r="D476" s="28" t="s">
        <v>5011</v>
      </c>
      <c r="E476" s="6" t="s">
        <v>1184</v>
      </c>
      <c r="F476" s="28" t="s">
        <v>94</v>
      </c>
      <c r="G476" s="222" t="s">
        <v>4910</v>
      </c>
      <c r="H476" s="28" t="s">
        <v>608</v>
      </c>
      <c r="I476" s="6" t="s">
        <v>608</v>
      </c>
      <c r="J476" s="28" t="s">
        <v>608</v>
      </c>
      <c r="K476" s="222"/>
      <c r="L476" s="222"/>
      <c r="M476" s="28" t="s">
        <v>5012</v>
      </c>
      <c r="N476" s="6" t="s">
        <v>1184</v>
      </c>
      <c r="O476" s="6" t="s">
        <v>608</v>
      </c>
      <c r="P476" s="222" t="s">
        <v>3838</v>
      </c>
      <c r="Q476" s="175" t="s">
        <v>608</v>
      </c>
      <c r="R476" s="28" t="s">
        <v>608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28" t="s">
        <v>608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1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5013</v>
      </c>
      <c r="B477" s="222" t="s">
        <v>4903</v>
      </c>
      <c r="C477" s="28" t="s">
        <v>4904</v>
      </c>
      <c r="D477" s="28" t="s">
        <v>5014</v>
      </c>
      <c r="E477" s="6" t="s">
        <v>1198</v>
      </c>
      <c r="F477" s="222" t="s">
        <v>5015</v>
      </c>
      <c r="G477" s="222" t="s">
        <v>4589</v>
      </c>
      <c r="H477" s="28" t="s">
        <v>5016</v>
      </c>
      <c r="I477" s="19" t="s">
        <v>5017</v>
      </c>
      <c r="J477" s="28" t="s">
        <v>4933</v>
      </c>
      <c r="K477" s="222"/>
      <c r="L477" s="222"/>
      <c r="M477" s="222" t="s">
        <v>3731</v>
      </c>
      <c r="N477" s="19" t="s">
        <v>5018</v>
      </c>
      <c r="O477" s="6" t="s">
        <v>608</v>
      </c>
      <c r="P477" s="222" t="s">
        <v>3838</v>
      </c>
      <c r="Q477" s="175" t="s">
        <v>608</v>
      </c>
      <c r="R477" s="175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28" t="s">
        <v>608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1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5019</v>
      </c>
      <c r="B478" s="222" t="s">
        <v>4903</v>
      </c>
      <c r="C478" s="28" t="s">
        <v>4904</v>
      </c>
      <c r="D478" s="28" t="s">
        <v>5020</v>
      </c>
      <c r="E478" s="6" t="s">
        <v>1198</v>
      </c>
      <c r="F478" s="28" t="s">
        <v>3927</v>
      </c>
      <c r="G478" s="222" t="s">
        <v>4589</v>
      </c>
      <c r="H478" s="28" t="s">
        <v>608</v>
      </c>
      <c r="I478" s="6" t="s">
        <v>608</v>
      </c>
      <c r="J478" s="28" t="s">
        <v>5021</v>
      </c>
      <c r="K478" s="222"/>
      <c r="L478" s="222"/>
      <c r="M478" s="222" t="s">
        <v>3731</v>
      </c>
      <c r="N478" s="19" t="s">
        <v>5022</v>
      </c>
      <c r="O478" s="6" t="s">
        <v>608</v>
      </c>
      <c r="P478" s="222" t="s">
        <v>3838</v>
      </c>
      <c r="Q478" s="175" t="s">
        <v>608</v>
      </c>
      <c r="R478" s="28" t="s">
        <v>608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28" t="s">
        <v>608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1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5023</v>
      </c>
      <c r="B479" s="222" t="s">
        <v>4903</v>
      </c>
      <c r="C479" s="28" t="s">
        <v>4904</v>
      </c>
      <c r="D479" s="28" t="s">
        <v>5024</v>
      </c>
      <c r="E479" s="6" t="s">
        <v>1213</v>
      </c>
      <c r="F479" s="28" t="s">
        <v>94</v>
      </c>
      <c r="G479" s="222" t="s">
        <v>3835</v>
      </c>
      <c r="H479" s="28" t="s">
        <v>608</v>
      </c>
      <c r="I479" s="6" t="s">
        <v>608</v>
      </c>
      <c r="J479" s="28" t="s">
        <v>608</v>
      </c>
      <c r="K479" s="224" t="n">
        <v>0.125</v>
      </c>
      <c r="L479" s="224" t="n">
        <v>0.5</v>
      </c>
      <c r="M479" s="28" t="s">
        <v>5025</v>
      </c>
      <c r="N479" s="6" t="s">
        <v>5026</v>
      </c>
      <c r="O479" s="6" t="s">
        <v>5027</v>
      </c>
      <c r="P479" s="222" t="s">
        <v>3838</v>
      </c>
      <c r="Q479" s="43" t="n">
        <f aca="false">Cap_In!F50</f>
        <v>0.5</v>
      </c>
      <c r="R479" s="28" t="s">
        <v>608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3839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1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5028</v>
      </c>
      <c r="B480" s="222" t="s">
        <v>4903</v>
      </c>
      <c r="C480" s="28" t="s">
        <v>4904</v>
      </c>
      <c r="D480" s="28" t="s">
        <v>5029</v>
      </c>
      <c r="E480" s="6" t="s">
        <v>1216</v>
      </c>
      <c r="F480" s="28" t="s">
        <v>94</v>
      </c>
      <c r="G480" s="222" t="s">
        <v>3835</v>
      </c>
      <c r="H480" s="28" t="s">
        <v>608</v>
      </c>
      <c r="I480" s="6" t="s">
        <v>608</v>
      </c>
      <c r="J480" s="28" t="s">
        <v>608</v>
      </c>
      <c r="K480" s="224" t="n">
        <v>0.1</v>
      </c>
      <c r="L480" s="224" t="n">
        <v>0.4</v>
      </c>
      <c r="M480" s="28" t="s">
        <v>5030</v>
      </c>
      <c r="N480" s="6" t="s">
        <v>5031</v>
      </c>
      <c r="O480" s="6" t="s">
        <v>5027</v>
      </c>
      <c r="P480" s="222" t="s">
        <v>3838</v>
      </c>
      <c r="Q480" s="43" t="n">
        <f aca="false">Cap_In!F51</f>
        <v>0.2</v>
      </c>
      <c r="R480" s="28" t="s">
        <v>608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3839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1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5032</v>
      </c>
      <c r="B481" s="222" t="s">
        <v>4903</v>
      </c>
      <c r="C481" s="28" t="s">
        <v>4904</v>
      </c>
      <c r="D481" s="28" t="s">
        <v>5033</v>
      </c>
      <c r="E481" s="6" t="s">
        <v>1225</v>
      </c>
      <c r="F481" s="28" t="s">
        <v>98</v>
      </c>
      <c r="G481" s="222" t="s">
        <v>3835</v>
      </c>
      <c r="H481" s="28" t="s">
        <v>5034</v>
      </c>
      <c r="I481" s="19" t="s">
        <v>5035</v>
      </c>
      <c r="J481" s="28" t="s">
        <v>608</v>
      </c>
      <c r="K481" s="224" t="n">
        <v>33</v>
      </c>
      <c r="L481" s="224" t="n">
        <v>39</v>
      </c>
      <c r="M481" s="28" t="s">
        <v>5036</v>
      </c>
      <c r="N481" s="19" t="s">
        <v>5037</v>
      </c>
      <c r="O481" s="6" t="s">
        <v>5038</v>
      </c>
      <c r="P481" s="222" t="s">
        <v>3838</v>
      </c>
      <c r="Q481" s="31" t="n">
        <f aca="false">Cap_In!I53</f>
        <v>36</v>
      </c>
      <c r="R481" s="175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3839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1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5039</v>
      </c>
      <c r="B482" s="222" t="s">
        <v>4903</v>
      </c>
      <c r="C482" s="28" t="s">
        <v>4904</v>
      </c>
      <c r="D482" s="28" t="s">
        <v>5040</v>
      </c>
      <c r="E482" s="6" t="s">
        <v>1233</v>
      </c>
      <c r="F482" s="28" t="s">
        <v>98</v>
      </c>
      <c r="G482" s="222" t="s">
        <v>3835</v>
      </c>
      <c r="H482" s="28" t="s">
        <v>5041</v>
      </c>
      <c r="I482" s="19" t="s">
        <v>5042</v>
      </c>
      <c r="J482" s="28" t="s">
        <v>608</v>
      </c>
      <c r="K482" s="224" t="n">
        <v>37</v>
      </c>
      <c r="L482" s="224" t="n">
        <v>43</v>
      </c>
      <c r="M482" s="28" t="s">
        <v>5043</v>
      </c>
      <c r="N482" s="19" t="s">
        <v>5044</v>
      </c>
      <c r="O482" s="6" t="s">
        <v>5045</v>
      </c>
      <c r="P482" s="222" t="s">
        <v>3838</v>
      </c>
      <c r="Q482" s="31" t="n">
        <f aca="false">Cap_In!I56</f>
        <v>40</v>
      </c>
      <c r="R482" s="175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3839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1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5046</v>
      </c>
      <c r="B483" s="222" t="s">
        <v>4903</v>
      </c>
      <c r="C483" s="28" t="s">
        <v>5047</v>
      </c>
      <c r="D483" s="28" t="s">
        <v>4494</v>
      </c>
      <c r="E483" s="19" t="s">
        <v>5048</v>
      </c>
      <c r="F483" s="28" t="s">
        <v>86</v>
      </c>
      <c r="G483" s="222" t="s">
        <v>3835</v>
      </c>
      <c r="H483" s="28" t="s">
        <v>608</v>
      </c>
      <c r="I483" s="6" t="s">
        <v>608</v>
      </c>
      <c r="J483" s="28" t="s">
        <v>4561</v>
      </c>
      <c r="K483" s="222"/>
      <c r="L483" s="222"/>
      <c r="M483" s="222" t="s">
        <v>3731</v>
      </c>
      <c r="N483" s="6" t="s">
        <v>5049</v>
      </c>
      <c r="O483" s="6" t="s">
        <v>608</v>
      </c>
      <c r="P483" s="222" t="s">
        <v>3838</v>
      </c>
      <c r="Q483" s="31" t="n">
        <f aca="false">Har_In!C5</f>
        <v>2</v>
      </c>
      <c r="R483" s="28" t="s">
        <v>608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3839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1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5050</v>
      </c>
      <c r="B484" s="222" t="s">
        <v>4903</v>
      </c>
      <c r="C484" s="28" t="s">
        <v>5047</v>
      </c>
      <c r="D484" s="28" t="s">
        <v>4011</v>
      </c>
      <c r="E484" s="19" t="s">
        <v>5051</v>
      </c>
      <c r="F484" s="28" t="s">
        <v>86</v>
      </c>
      <c r="G484" s="222" t="s">
        <v>3835</v>
      </c>
      <c r="H484" s="28" t="s">
        <v>608</v>
      </c>
      <c r="I484" s="6" t="s">
        <v>608</v>
      </c>
      <c r="J484" s="28" t="s">
        <v>3783</v>
      </c>
      <c r="K484" s="224" t="n">
        <v>0</v>
      </c>
      <c r="L484" s="224" t="n">
        <v>0.8</v>
      </c>
      <c r="M484" s="28" t="s">
        <v>5052</v>
      </c>
      <c r="N484" s="6" t="s">
        <v>5053</v>
      </c>
      <c r="O484" s="6" t="s">
        <v>608</v>
      </c>
      <c r="P484" s="222" t="s">
        <v>3838</v>
      </c>
      <c r="Q484" s="185" t="n">
        <f aca="false">Har_In!C8</f>
        <v>0.5</v>
      </c>
      <c r="R484" s="28" t="s">
        <v>608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3839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1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5054</v>
      </c>
      <c r="B485" s="222" t="s">
        <v>4903</v>
      </c>
      <c r="C485" s="28" t="s">
        <v>5047</v>
      </c>
      <c r="D485" s="28" t="s">
        <v>5055</v>
      </c>
      <c r="E485" s="19" t="s">
        <v>1905</v>
      </c>
      <c r="F485" s="28" t="s">
        <v>94</v>
      </c>
      <c r="G485" s="222" t="s">
        <v>4589</v>
      </c>
      <c r="H485" s="28" t="s">
        <v>608</v>
      </c>
      <c r="I485" s="6" t="s">
        <v>608</v>
      </c>
      <c r="J485" s="28" t="s">
        <v>608</v>
      </c>
      <c r="K485" s="222"/>
      <c r="L485" s="222"/>
      <c r="M485" s="28" t="s">
        <v>5056</v>
      </c>
      <c r="N485" s="19" t="s">
        <v>5057</v>
      </c>
      <c r="O485" s="6" t="s">
        <v>608</v>
      </c>
      <c r="P485" s="222" t="s">
        <v>3838</v>
      </c>
      <c r="Q485" s="175" t="s">
        <v>608</v>
      </c>
      <c r="R485" s="28" t="s">
        <v>608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28" t="s">
        <v>608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1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5058</v>
      </c>
      <c r="B486" s="222" t="s">
        <v>4903</v>
      </c>
      <c r="C486" s="28" t="s">
        <v>5047</v>
      </c>
      <c r="D486" s="28" t="s">
        <v>5059</v>
      </c>
      <c r="E486" s="19" t="s">
        <v>5060</v>
      </c>
      <c r="F486" s="28" t="s">
        <v>94</v>
      </c>
      <c r="G486" s="222" t="s">
        <v>4589</v>
      </c>
      <c r="H486" s="28" t="s">
        <v>608</v>
      </c>
      <c r="I486" s="6" t="s">
        <v>608</v>
      </c>
      <c r="J486" s="28" t="s">
        <v>608</v>
      </c>
      <c r="K486" s="222"/>
      <c r="L486" s="222"/>
      <c r="M486" s="28" t="s">
        <v>5061</v>
      </c>
      <c r="N486" s="19" t="s">
        <v>5062</v>
      </c>
      <c r="O486" s="6" t="s">
        <v>5063</v>
      </c>
      <c r="P486" s="222" t="s">
        <v>3838</v>
      </c>
      <c r="Q486" s="175" t="s">
        <v>608</v>
      </c>
      <c r="R486" s="28" t="s">
        <v>608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28" t="s">
        <v>608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1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5064</v>
      </c>
      <c r="B487" s="222" t="s">
        <v>4903</v>
      </c>
      <c r="C487" s="28" t="s">
        <v>5047</v>
      </c>
      <c r="D487" s="28" t="s">
        <v>5065</v>
      </c>
      <c r="E487" s="19" t="s">
        <v>1910</v>
      </c>
      <c r="F487" s="28" t="s">
        <v>94</v>
      </c>
      <c r="G487" s="222" t="s">
        <v>4589</v>
      </c>
      <c r="H487" s="28" t="s">
        <v>608</v>
      </c>
      <c r="I487" s="6" t="s">
        <v>608</v>
      </c>
      <c r="J487" s="28" t="s">
        <v>608</v>
      </c>
      <c r="K487" s="222"/>
      <c r="L487" s="222"/>
      <c r="M487" s="28" t="s">
        <v>5066</v>
      </c>
      <c r="N487" s="19" t="s">
        <v>5067</v>
      </c>
      <c r="O487" s="6" t="s">
        <v>608</v>
      </c>
      <c r="P487" s="222" t="s">
        <v>3838</v>
      </c>
      <c r="Q487" s="175" t="s">
        <v>608</v>
      </c>
      <c r="R487" s="28" t="s">
        <v>608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28" t="s">
        <v>608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1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5068</v>
      </c>
      <c r="B488" s="222" t="s">
        <v>4903</v>
      </c>
      <c r="C488" s="28" t="s">
        <v>5047</v>
      </c>
      <c r="D488" s="28" t="s">
        <v>5069</v>
      </c>
      <c r="E488" s="19" t="s">
        <v>5070</v>
      </c>
      <c r="F488" s="28" t="s">
        <v>94</v>
      </c>
      <c r="G488" s="222" t="s">
        <v>4589</v>
      </c>
      <c r="H488" s="28" t="s">
        <v>608</v>
      </c>
      <c r="I488" s="6" t="s">
        <v>608</v>
      </c>
      <c r="J488" s="28" t="s">
        <v>608</v>
      </c>
      <c r="K488" s="222"/>
      <c r="L488" s="222"/>
      <c r="M488" s="28" t="s">
        <v>5071</v>
      </c>
      <c r="N488" s="19" t="s">
        <v>5072</v>
      </c>
      <c r="O488" s="6" t="s">
        <v>608</v>
      </c>
      <c r="P488" s="222" t="s">
        <v>3838</v>
      </c>
      <c r="Q488" s="175" t="s">
        <v>608</v>
      </c>
      <c r="R488" s="28" t="s">
        <v>608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28" t="s">
        <v>608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1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5073</v>
      </c>
      <c r="B489" s="222" t="s">
        <v>4903</v>
      </c>
      <c r="C489" s="28" t="s">
        <v>5047</v>
      </c>
      <c r="D489" s="28" t="s">
        <v>5074</v>
      </c>
      <c r="E489" s="19" t="s">
        <v>1914</v>
      </c>
      <c r="F489" s="28" t="s">
        <v>94</v>
      </c>
      <c r="G489" s="222" t="s">
        <v>4589</v>
      </c>
      <c r="H489" s="28" t="s">
        <v>608</v>
      </c>
      <c r="I489" s="6" t="s">
        <v>608</v>
      </c>
      <c r="J489" s="28" t="s">
        <v>608</v>
      </c>
      <c r="K489" s="222"/>
      <c r="L489" s="222"/>
      <c r="M489" s="28" t="s">
        <v>5075</v>
      </c>
      <c r="N489" s="19" t="s">
        <v>5076</v>
      </c>
      <c r="O489" s="6" t="s">
        <v>608</v>
      </c>
      <c r="P489" s="222" t="s">
        <v>3838</v>
      </c>
      <c r="Q489" s="175" t="s">
        <v>608</v>
      </c>
      <c r="R489" s="28" t="s">
        <v>608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28" t="s">
        <v>608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1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5077</v>
      </c>
      <c r="B490" s="222" t="s">
        <v>4903</v>
      </c>
      <c r="C490" s="28" t="s">
        <v>5047</v>
      </c>
      <c r="D490" s="28" t="s">
        <v>5078</v>
      </c>
      <c r="E490" s="19" t="s">
        <v>1917</v>
      </c>
      <c r="F490" s="28" t="s">
        <v>94</v>
      </c>
      <c r="G490" s="222" t="s">
        <v>4589</v>
      </c>
      <c r="H490" s="28" t="s">
        <v>608</v>
      </c>
      <c r="I490" s="6" t="s">
        <v>608</v>
      </c>
      <c r="J490" s="28" t="s">
        <v>608</v>
      </c>
      <c r="K490" s="222"/>
      <c r="L490" s="222"/>
      <c r="M490" s="28" t="s">
        <v>5079</v>
      </c>
      <c r="N490" s="19" t="s">
        <v>5080</v>
      </c>
      <c r="O490" s="6" t="s">
        <v>608</v>
      </c>
      <c r="P490" s="222" t="s">
        <v>3838</v>
      </c>
      <c r="Q490" s="175" t="s">
        <v>608</v>
      </c>
      <c r="R490" s="28" t="s">
        <v>608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28" t="s">
        <v>608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1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5081</v>
      </c>
      <c r="B491" s="222" t="s">
        <v>4903</v>
      </c>
      <c r="C491" s="28" t="s">
        <v>5047</v>
      </c>
      <c r="D491" s="28" t="s">
        <v>5082</v>
      </c>
      <c r="E491" s="19" t="s">
        <v>1921</v>
      </c>
      <c r="F491" s="28" t="s">
        <v>94</v>
      </c>
      <c r="G491" s="222" t="s">
        <v>4589</v>
      </c>
      <c r="H491" s="28" t="s">
        <v>608</v>
      </c>
      <c r="I491" s="6" t="s">
        <v>608</v>
      </c>
      <c r="J491" s="28" t="s">
        <v>608</v>
      </c>
      <c r="K491" s="222"/>
      <c r="L491" s="222"/>
      <c r="M491" s="28" t="s">
        <v>5083</v>
      </c>
      <c r="N491" s="19" t="s">
        <v>5084</v>
      </c>
      <c r="O491" s="6" t="s">
        <v>608</v>
      </c>
      <c r="P491" s="222" t="s">
        <v>3838</v>
      </c>
      <c r="Q491" s="175" t="s">
        <v>608</v>
      </c>
      <c r="R491" s="28" t="s">
        <v>608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28" t="s">
        <v>608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1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5085</v>
      </c>
      <c r="B492" s="222" t="s">
        <v>4903</v>
      </c>
      <c r="C492" s="28" t="s">
        <v>5047</v>
      </c>
      <c r="D492" s="28" t="s">
        <v>5086</v>
      </c>
      <c r="E492" s="19" t="s">
        <v>1919</v>
      </c>
      <c r="F492" s="28" t="s">
        <v>98</v>
      </c>
      <c r="G492" s="222" t="s">
        <v>4589</v>
      </c>
      <c r="H492" s="28" t="s">
        <v>5087</v>
      </c>
      <c r="I492" s="19" t="s">
        <v>5088</v>
      </c>
      <c r="J492" s="28" t="s">
        <v>608</v>
      </c>
      <c r="K492" s="222"/>
      <c r="L492" s="222"/>
      <c r="M492" s="28" t="s">
        <v>5089</v>
      </c>
      <c r="N492" s="19" t="s">
        <v>5090</v>
      </c>
      <c r="O492" s="6" t="s">
        <v>608</v>
      </c>
      <c r="P492" s="222" t="s">
        <v>3838</v>
      </c>
      <c r="Q492" s="175" t="s">
        <v>608</v>
      </c>
      <c r="R492" s="175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28" t="s">
        <v>608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1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5091</v>
      </c>
      <c r="B493" s="222" t="s">
        <v>4903</v>
      </c>
      <c r="C493" s="28" t="s">
        <v>5047</v>
      </c>
      <c r="D493" s="28" t="s">
        <v>5092</v>
      </c>
      <c r="E493" s="19" t="s">
        <v>5093</v>
      </c>
      <c r="F493" s="28" t="s">
        <v>94</v>
      </c>
      <c r="G493" s="222" t="s">
        <v>4589</v>
      </c>
      <c r="H493" s="28" t="s">
        <v>608</v>
      </c>
      <c r="I493" s="6" t="s">
        <v>608</v>
      </c>
      <c r="J493" s="28" t="s">
        <v>608</v>
      </c>
      <c r="K493" s="222"/>
      <c r="L493" s="222"/>
      <c r="M493" s="222" t="s">
        <v>3731</v>
      </c>
      <c r="N493" s="19" t="s">
        <v>5094</v>
      </c>
      <c r="O493" s="6" t="s">
        <v>5095</v>
      </c>
      <c r="P493" s="222" t="s">
        <v>3838</v>
      </c>
      <c r="Q493" s="175" t="s">
        <v>608</v>
      </c>
      <c r="R493" s="28" t="s">
        <v>608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28" t="s">
        <v>608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1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5096</v>
      </c>
      <c r="B494" s="222" t="s">
        <v>4903</v>
      </c>
      <c r="C494" s="28" t="s">
        <v>5047</v>
      </c>
      <c r="D494" s="28" t="s">
        <v>5097</v>
      </c>
      <c r="E494" s="19" t="s">
        <v>1905</v>
      </c>
      <c r="F494" s="28" t="s">
        <v>94</v>
      </c>
      <c r="G494" s="222" t="s">
        <v>4589</v>
      </c>
      <c r="H494" s="28" t="s">
        <v>608</v>
      </c>
      <c r="I494" s="6" t="s">
        <v>608</v>
      </c>
      <c r="J494" s="28" t="s">
        <v>608</v>
      </c>
      <c r="K494" s="222"/>
      <c r="L494" s="222"/>
      <c r="M494" s="28" t="s">
        <v>5098</v>
      </c>
      <c r="N494" s="19" t="s">
        <v>5099</v>
      </c>
      <c r="O494" s="6" t="s">
        <v>608</v>
      </c>
      <c r="P494" s="222" t="s">
        <v>3838</v>
      </c>
      <c r="Q494" s="175" t="s">
        <v>608</v>
      </c>
      <c r="R494" s="28" t="s">
        <v>608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28" t="s">
        <v>608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1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5100</v>
      </c>
      <c r="B495" s="222" t="s">
        <v>4903</v>
      </c>
      <c r="C495" s="28" t="s">
        <v>5047</v>
      </c>
      <c r="D495" s="28" t="s">
        <v>5101</v>
      </c>
      <c r="E495" s="19" t="s">
        <v>5060</v>
      </c>
      <c r="F495" s="28" t="s">
        <v>94</v>
      </c>
      <c r="G495" s="222" t="s">
        <v>4589</v>
      </c>
      <c r="H495" s="28" t="s">
        <v>608</v>
      </c>
      <c r="I495" s="6" t="s">
        <v>608</v>
      </c>
      <c r="J495" s="28" t="s">
        <v>608</v>
      </c>
      <c r="K495" s="222"/>
      <c r="L495" s="222"/>
      <c r="M495" s="28" t="s">
        <v>5061</v>
      </c>
      <c r="N495" s="19" t="s">
        <v>5102</v>
      </c>
      <c r="O495" s="6" t="s">
        <v>608</v>
      </c>
      <c r="P495" s="222" t="s">
        <v>3838</v>
      </c>
      <c r="Q495" s="175" t="s">
        <v>608</v>
      </c>
      <c r="R495" s="28" t="s">
        <v>608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28" t="s">
        <v>608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1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5103</v>
      </c>
      <c r="B496" s="222" t="s">
        <v>4903</v>
      </c>
      <c r="C496" s="28" t="s">
        <v>5047</v>
      </c>
      <c r="D496" s="28" t="s">
        <v>5104</v>
      </c>
      <c r="E496" s="19" t="s">
        <v>1910</v>
      </c>
      <c r="F496" s="28" t="s">
        <v>94</v>
      </c>
      <c r="G496" s="222" t="s">
        <v>4589</v>
      </c>
      <c r="H496" s="28" t="s">
        <v>608</v>
      </c>
      <c r="I496" s="6" t="s">
        <v>608</v>
      </c>
      <c r="J496" s="28" t="s">
        <v>608</v>
      </c>
      <c r="K496" s="222"/>
      <c r="L496" s="222"/>
      <c r="M496" s="28" t="s">
        <v>5105</v>
      </c>
      <c r="N496" s="19" t="s">
        <v>5106</v>
      </c>
      <c r="O496" s="6" t="s">
        <v>608</v>
      </c>
      <c r="P496" s="222" t="s">
        <v>3838</v>
      </c>
      <c r="Q496" s="175" t="s">
        <v>608</v>
      </c>
      <c r="R496" s="28" t="s">
        <v>608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28" t="s">
        <v>608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1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5107</v>
      </c>
      <c r="B497" s="222" t="s">
        <v>4903</v>
      </c>
      <c r="C497" s="28" t="s">
        <v>5047</v>
      </c>
      <c r="D497" s="28" t="s">
        <v>5108</v>
      </c>
      <c r="E497" s="19" t="s">
        <v>5070</v>
      </c>
      <c r="F497" s="28" t="s">
        <v>94</v>
      </c>
      <c r="G497" s="222" t="s">
        <v>4589</v>
      </c>
      <c r="H497" s="28" t="s">
        <v>608</v>
      </c>
      <c r="I497" s="6" t="s">
        <v>608</v>
      </c>
      <c r="J497" s="28" t="s">
        <v>608</v>
      </c>
      <c r="K497" s="222"/>
      <c r="L497" s="222"/>
      <c r="M497" s="28" t="s">
        <v>5109</v>
      </c>
      <c r="N497" s="19" t="s">
        <v>5110</v>
      </c>
      <c r="O497" s="6" t="s">
        <v>608</v>
      </c>
      <c r="P497" s="222" t="s">
        <v>3838</v>
      </c>
      <c r="Q497" s="175" t="s">
        <v>608</v>
      </c>
      <c r="R497" s="28" t="s">
        <v>608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28" t="s">
        <v>608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1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5111</v>
      </c>
      <c r="B498" s="222" t="s">
        <v>4903</v>
      </c>
      <c r="C498" s="28" t="s">
        <v>5047</v>
      </c>
      <c r="D498" s="28" t="s">
        <v>5112</v>
      </c>
      <c r="E498" s="19" t="s">
        <v>1914</v>
      </c>
      <c r="F498" s="28" t="s">
        <v>94</v>
      </c>
      <c r="G498" s="222" t="s">
        <v>4589</v>
      </c>
      <c r="H498" s="28" t="s">
        <v>608</v>
      </c>
      <c r="I498" s="6" t="s">
        <v>608</v>
      </c>
      <c r="J498" s="28" t="s">
        <v>608</v>
      </c>
      <c r="K498" s="222"/>
      <c r="L498" s="222"/>
      <c r="M498" s="28" t="s">
        <v>5075</v>
      </c>
      <c r="N498" s="19" t="s">
        <v>5113</v>
      </c>
      <c r="O498" s="6" t="s">
        <v>608</v>
      </c>
      <c r="P498" s="222" t="s">
        <v>3838</v>
      </c>
      <c r="Q498" s="175" t="s">
        <v>608</v>
      </c>
      <c r="R498" s="28" t="s">
        <v>608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28" t="s">
        <v>608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1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5114</v>
      </c>
      <c r="B499" s="222" t="s">
        <v>4903</v>
      </c>
      <c r="C499" s="28" t="s">
        <v>5047</v>
      </c>
      <c r="D499" s="28" t="s">
        <v>5115</v>
      </c>
      <c r="E499" s="19" t="s">
        <v>1919</v>
      </c>
      <c r="F499" s="28" t="s">
        <v>94</v>
      </c>
      <c r="G499" s="222" t="s">
        <v>4589</v>
      </c>
      <c r="H499" s="28" t="s">
        <v>608</v>
      </c>
      <c r="I499" s="6" t="s">
        <v>608</v>
      </c>
      <c r="J499" s="28" t="s">
        <v>608</v>
      </c>
      <c r="K499" s="222"/>
      <c r="L499" s="222"/>
      <c r="M499" s="28" t="s">
        <v>5116</v>
      </c>
      <c r="N499" s="19" t="s">
        <v>5117</v>
      </c>
      <c r="O499" s="6" t="s">
        <v>608</v>
      </c>
      <c r="P499" s="222" t="s">
        <v>3838</v>
      </c>
      <c r="Q499" s="175" t="s">
        <v>608</v>
      </c>
      <c r="R499" s="28" t="s">
        <v>608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28" t="s">
        <v>608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1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5118</v>
      </c>
      <c r="B500" s="222" t="s">
        <v>4903</v>
      </c>
      <c r="C500" s="28" t="s">
        <v>5047</v>
      </c>
      <c r="D500" s="28" t="s">
        <v>5119</v>
      </c>
      <c r="E500" s="19" t="s">
        <v>1921</v>
      </c>
      <c r="F500" s="28" t="s">
        <v>94</v>
      </c>
      <c r="G500" s="222" t="s">
        <v>4589</v>
      </c>
      <c r="H500" s="28" t="s">
        <v>608</v>
      </c>
      <c r="I500" s="6" t="s">
        <v>608</v>
      </c>
      <c r="J500" s="28" t="s">
        <v>608</v>
      </c>
      <c r="K500" s="222"/>
      <c r="L500" s="222"/>
      <c r="M500" s="28" t="s">
        <v>5120</v>
      </c>
      <c r="N500" s="19" t="s">
        <v>5121</v>
      </c>
      <c r="O500" s="6" t="s">
        <v>608</v>
      </c>
      <c r="P500" s="222" t="s">
        <v>3838</v>
      </c>
      <c r="Q500" s="175" t="s">
        <v>608</v>
      </c>
      <c r="R500" s="28" t="s">
        <v>608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28" t="s">
        <v>608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1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5122</v>
      </c>
      <c r="B501" s="222" t="s">
        <v>4903</v>
      </c>
      <c r="C501" s="28" t="s">
        <v>5047</v>
      </c>
      <c r="D501" s="28" t="s">
        <v>5123</v>
      </c>
      <c r="E501" s="19" t="s">
        <v>5093</v>
      </c>
      <c r="F501" s="28" t="s">
        <v>94</v>
      </c>
      <c r="G501" s="222" t="s">
        <v>4589</v>
      </c>
      <c r="H501" s="28" t="s">
        <v>608</v>
      </c>
      <c r="I501" s="6" t="s">
        <v>608</v>
      </c>
      <c r="J501" s="28" t="s">
        <v>608</v>
      </c>
      <c r="K501" s="222"/>
      <c r="L501" s="222"/>
      <c r="M501" s="222" t="s">
        <v>3731</v>
      </c>
      <c r="N501" s="19" t="s">
        <v>5124</v>
      </c>
      <c r="O501" s="6" t="s">
        <v>608</v>
      </c>
      <c r="P501" s="222" t="s">
        <v>3838</v>
      </c>
      <c r="Q501" s="175" t="s">
        <v>608</v>
      </c>
      <c r="R501" s="28" t="s">
        <v>608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28" t="s">
        <v>608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1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5125</v>
      </c>
      <c r="B502" s="222" t="s">
        <v>4903</v>
      </c>
      <c r="C502" s="28" t="s">
        <v>5047</v>
      </c>
      <c r="D502" s="28" t="s">
        <v>5126</v>
      </c>
      <c r="E502" s="19" t="s">
        <v>1917</v>
      </c>
      <c r="F502" s="28" t="s">
        <v>98</v>
      </c>
      <c r="G502" s="222" t="s">
        <v>4589</v>
      </c>
      <c r="H502" s="28" t="s">
        <v>4580</v>
      </c>
      <c r="I502" s="19" t="s">
        <v>5127</v>
      </c>
      <c r="J502" s="28" t="s">
        <v>608</v>
      </c>
      <c r="K502" s="222"/>
      <c r="L502" s="222"/>
      <c r="M502" s="28" t="s">
        <v>5128</v>
      </c>
      <c r="N502" s="19" t="s">
        <v>5129</v>
      </c>
      <c r="O502" s="6" t="s">
        <v>608</v>
      </c>
      <c r="P502" s="222" t="s">
        <v>3838</v>
      </c>
      <c r="Q502" s="175" t="s">
        <v>608</v>
      </c>
      <c r="R502" s="175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28" t="s">
        <v>608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1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5130</v>
      </c>
      <c r="B503" s="222" t="s">
        <v>4903</v>
      </c>
      <c r="C503" s="28" t="s">
        <v>5047</v>
      </c>
      <c r="D503" s="28" t="s">
        <v>5131</v>
      </c>
      <c r="E503" s="6" t="s">
        <v>1931</v>
      </c>
      <c r="F503" s="28" t="s">
        <v>98</v>
      </c>
      <c r="G503" s="222" t="s">
        <v>4589</v>
      </c>
      <c r="H503" s="28" t="s">
        <v>5132</v>
      </c>
      <c r="I503" s="19" t="s">
        <v>5133</v>
      </c>
      <c r="J503" s="28" t="s">
        <v>608</v>
      </c>
      <c r="K503" s="222"/>
      <c r="L503" s="222"/>
      <c r="M503" s="222" t="s">
        <v>5134</v>
      </c>
      <c r="N503" s="19" t="s">
        <v>5135</v>
      </c>
      <c r="O503" s="6" t="s">
        <v>608</v>
      </c>
      <c r="P503" s="222" t="s">
        <v>3894</v>
      </c>
      <c r="Q503" s="175" t="s">
        <v>608</v>
      </c>
      <c r="R503" s="175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28" t="s">
        <v>608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1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5136</v>
      </c>
      <c r="B504" s="222" t="s">
        <v>4903</v>
      </c>
      <c r="C504" s="28" t="s">
        <v>5047</v>
      </c>
      <c r="D504" s="28" t="s">
        <v>5137</v>
      </c>
      <c r="E504" s="6" t="s">
        <v>1933</v>
      </c>
      <c r="F504" s="28" t="s">
        <v>98</v>
      </c>
      <c r="G504" s="222" t="s">
        <v>1137</v>
      </c>
      <c r="H504" s="28" t="s">
        <v>5132</v>
      </c>
      <c r="I504" s="19" t="s">
        <v>3858</v>
      </c>
      <c r="J504" s="28" t="s">
        <v>608</v>
      </c>
      <c r="K504" s="222"/>
      <c r="L504" s="222"/>
      <c r="M504" s="28" t="s">
        <v>608</v>
      </c>
      <c r="N504" s="19" t="s">
        <v>5138</v>
      </c>
      <c r="O504" s="6" t="s">
        <v>608</v>
      </c>
      <c r="P504" s="222" t="s">
        <v>3838</v>
      </c>
      <c r="Q504" s="175" t="s">
        <v>608</v>
      </c>
      <c r="R504" s="175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28" t="s">
        <v>608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1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5139</v>
      </c>
      <c r="B505" s="222" t="s">
        <v>4903</v>
      </c>
      <c r="C505" s="28" t="s">
        <v>5047</v>
      </c>
      <c r="D505" s="28" t="s">
        <v>5140</v>
      </c>
      <c r="E505" s="6" t="s">
        <v>1934</v>
      </c>
      <c r="F505" s="28" t="s">
        <v>98</v>
      </c>
      <c r="G505" s="222" t="s">
        <v>1138</v>
      </c>
      <c r="H505" s="28" t="s">
        <v>5141</v>
      </c>
      <c r="I505" s="19" t="s">
        <v>5142</v>
      </c>
      <c r="J505" s="28" t="s">
        <v>608</v>
      </c>
      <c r="K505" s="222"/>
      <c r="L505" s="222"/>
      <c r="M505" s="28" t="s">
        <v>608</v>
      </c>
      <c r="N505" s="19" t="s">
        <v>5143</v>
      </c>
      <c r="O505" s="6" t="s">
        <v>608</v>
      </c>
      <c r="P505" s="222" t="s">
        <v>3838</v>
      </c>
      <c r="Q505" s="175" t="s">
        <v>608</v>
      </c>
      <c r="R505" s="175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28" t="s">
        <v>608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1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5144</v>
      </c>
      <c r="B506" s="222" t="s">
        <v>4903</v>
      </c>
      <c r="C506" s="28" t="s">
        <v>5047</v>
      </c>
      <c r="D506" s="28" t="s">
        <v>5145</v>
      </c>
      <c r="E506" s="19" t="s">
        <v>5146</v>
      </c>
      <c r="F506" s="28" t="s">
        <v>98</v>
      </c>
      <c r="G506" s="222" t="s">
        <v>79</v>
      </c>
      <c r="H506" s="28" t="s">
        <v>5147</v>
      </c>
      <c r="I506" s="19" t="s">
        <v>5148</v>
      </c>
      <c r="J506" s="28" t="s">
        <v>608</v>
      </c>
      <c r="K506" s="183" t="n">
        <f aca="false">Har_In!D51</f>
        <v>0.65</v>
      </c>
      <c r="L506" s="183" t="n">
        <f aca="false">Har_In!E51</f>
        <v>1</v>
      </c>
      <c r="M506" s="28" t="s">
        <v>608</v>
      </c>
      <c r="N506" s="6" t="s">
        <v>5149</v>
      </c>
      <c r="O506" s="6" t="s">
        <v>5150</v>
      </c>
      <c r="P506" s="222" t="s">
        <v>3894</v>
      </c>
      <c r="Q506" s="183" t="n">
        <f aca="false">Har_In!C51</f>
        <v>0.75</v>
      </c>
      <c r="R506" s="175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3839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1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5151</v>
      </c>
      <c r="B507" s="222" t="s">
        <v>4903</v>
      </c>
      <c r="C507" s="28" t="s">
        <v>5047</v>
      </c>
      <c r="D507" s="28" t="s">
        <v>5152</v>
      </c>
      <c r="E507" s="19" t="s">
        <v>5146</v>
      </c>
      <c r="F507" s="28" t="s">
        <v>98</v>
      </c>
      <c r="G507" s="222" t="s">
        <v>4910</v>
      </c>
      <c r="H507" s="28" t="s">
        <v>5147</v>
      </c>
      <c r="I507" s="19" t="s">
        <v>5148</v>
      </c>
      <c r="J507" s="28" t="s">
        <v>608</v>
      </c>
      <c r="K507" s="222"/>
      <c r="L507" s="222"/>
      <c r="M507" s="28" t="s">
        <v>5153</v>
      </c>
      <c r="N507" s="6" t="s">
        <v>5154</v>
      </c>
      <c r="O507" s="6" t="s">
        <v>608</v>
      </c>
      <c r="P507" s="222" t="s">
        <v>3838</v>
      </c>
      <c r="Q507" s="175" t="s">
        <v>608</v>
      </c>
      <c r="R507" s="175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28" t="s">
        <v>608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1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5155</v>
      </c>
      <c r="B508" s="222" t="s">
        <v>4903</v>
      </c>
      <c r="C508" s="28" t="s">
        <v>5047</v>
      </c>
      <c r="D508" s="28" t="s">
        <v>5156</v>
      </c>
      <c r="E508" s="19" t="s">
        <v>1939</v>
      </c>
      <c r="F508" s="28" t="s">
        <v>94</v>
      </c>
      <c r="G508" s="222" t="s">
        <v>4589</v>
      </c>
      <c r="H508" s="28" t="s">
        <v>608</v>
      </c>
      <c r="I508" s="6" t="s">
        <v>608</v>
      </c>
      <c r="J508" s="28" t="s">
        <v>608</v>
      </c>
      <c r="K508" s="222"/>
      <c r="L508" s="222"/>
      <c r="M508" s="222" t="s">
        <v>5157</v>
      </c>
      <c r="N508" s="6" t="s">
        <v>5158</v>
      </c>
      <c r="O508" s="6" t="s">
        <v>608</v>
      </c>
      <c r="P508" s="222" t="s">
        <v>3894</v>
      </c>
      <c r="Q508" s="175" t="s">
        <v>608</v>
      </c>
      <c r="R508" s="28" t="s">
        <v>608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28" t="s">
        <v>608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1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5159</v>
      </c>
      <c r="B509" s="222" t="s">
        <v>4903</v>
      </c>
      <c r="C509" s="28" t="s">
        <v>5047</v>
      </c>
      <c r="D509" s="28" t="s">
        <v>5160</v>
      </c>
      <c r="E509" s="19" t="s">
        <v>1905</v>
      </c>
      <c r="F509" s="222" t="s">
        <v>369</v>
      </c>
      <c r="G509" s="222" t="s">
        <v>4589</v>
      </c>
      <c r="H509" s="28" t="s">
        <v>608</v>
      </c>
      <c r="I509" s="6" t="s">
        <v>608</v>
      </c>
      <c r="J509" s="28" t="s">
        <v>608</v>
      </c>
      <c r="K509" s="222"/>
      <c r="L509" s="222"/>
      <c r="M509" s="222" t="s">
        <v>3731</v>
      </c>
      <c r="N509" s="6" t="s">
        <v>5161</v>
      </c>
      <c r="O509" s="6" t="s">
        <v>608</v>
      </c>
      <c r="P509" s="222" t="s">
        <v>3838</v>
      </c>
      <c r="Q509" s="175" t="s">
        <v>608</v>
      </c>
      <c r="R509" s="28" t="s">
        <v>608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28" t="s">
        <v>608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1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5162</v>
      </c>
      <c r="B510" s="222" t="s">
        <v>4903</v>
      </c>
      <c r="C510" s="28" t="s">
        <v>24</v>
      </c>
      <c r="D510" s="28" t="s">
        <v>5163</v>
      </c>
      <c r="E510" s="6" t="s">
        <v>606</v>
      </c>
      <c r="F510" s="28" t="s">
        <v>94</v>
      </c>
      <c r="G510" s="222" t="s">
        <v>4589</v>
      </c>
      <c r="H510" s="28" t="s">
        <v>608</v>
      </c>
      <c r="I510" s="6" t="s">
        <v>608</v>
      </c>
      <c r="J510" s="28" t="s">
        <v>608</v>
      </c>
      <c r="K510" s="222"/>
      <c r="L510" s="222"/>
      <c r="M510" s="222" t="s">
        <v>3731</v>
      </c>
      <c r="N510" s="6" t="s">
        <v>5164</v>
      </c>
      <c r="O510" s="6" t="s">
        <v>608</v>
      </c>
      <c r="P510" s="222" t="s">
        <v>3838</v>
      </c>
      <c r="Q510" s="175" t="s">
        <v>608</v>
      </c>
      <c r="R510" s="28" t="s">
        <v>608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28" t="s">
        <v>608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1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5165</v>
      </c>
      <c r="B511" s="222" t="s">
        <v>4903</v>
      </c>
      <c r="C511" s="28" t="s">
        <v>24</v>
      </c>
      <c r="D511" s="28" t="s">
        <v>5166</v>
      </c>
      <c r="E511" s="6" t="s">
        <v>628</v>
      </c>
      <c r="F511" s="28" t="s">
        <v>94</v>
      </c>
      <c r="G511" s="222" t="s">
        <v>4589</v>
      </c>
      <c r="H511" s="28" t="s">
        <v>608</v>
      </c>
      <c r="I511" s="6" t="s">
        <v>608</v>
      </c>
      <c r="J511" s="28" t="s">
        <v>608</v>
      </c>
      <c r="K511" s="222"/>
      <c r="L511" s="222"/>
      <c r="M511" s="28" t="s">
        <v>5167</v>
      </c>
      <c r="N511" s="6" t="s">
        <v>5168</v>
      </c>
      <c r="O511" s="6" t="s">
        <v>608</v>
      </c>
      <c r="P511" s="222" t="s">
        <v>3838</v>
      </c>
      <c r="Q511" s="175" t="s">
        <v>608</v>
      </c>
      <c r="R511" s="28" t="s">
        <v>608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28" t="s">
        <v>608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1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5169</v>
      </c>
      <c r="B512" s="222" t="s">
        <v>4903</v>
      </c>
      <c r="C512" s="28" t="s">
        <v>24</v>
      </c>
      <c r="D512" s="28" t="s">
        <v>5170</v>
      </c>
      <c r="E512" s="6" t="s">
        <v>635</v>
      </c>
      <c r="F512" s="28" t="s">
        <v>98</v>
      </c>
      <c r="G512" s="222" t="s">
        <v>4589</v>
      </c>
      <c r="H512" s="28" t="s">
        <v>4309</v>
      </c>
      <c r="I512" s="19" t="s">
        <v>5171</v>
      </c>
      <c r="J512" s="28" t="s">
        <v>608</v>
      </c>
      <c r="K512" s="222"/>
      <c r="L512" s="222"/>
      <c r="M512" s="28" t="s">
        <v>5167</v>
      </c>
      <c r="N512" s="6" t="s">
        <v>5172</v>
      </c>
      <c r="O512" s="6" t="s">
        <v>5173</v>
      </c>
      <c r="P512" s="222" t="s">
        <v>3838</v>
      </c>
      <c r="Q512" s="175" t="s">
        <v>608</v>
      </c>
      <c r="R512" s="175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28" t="s">
        <v>608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1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5174</v>
      </c>
      <c r="B513" s="222" t="s">
        <v>4903</v>
      </c>
      <c r="C513" s="28" t="s">
        <v>24</v>
      </c>
      <c r="D513" s="28" t="s">
        <v>5175</v>
      </c>
      <c r="E513" s="6" t="s">
        <v>642</v>
      </c>
      <c r="F513" s="28" t="s">
        <v>94</v>
      </c>
      <c r="G513" s="222" t="s">
        <v>4589</v>
      </c>
      <c r="H513" s="28" t="s">
        <v>608</v>
      </c>
      <c r="I513" s="6" t="s">
        <v>608</v>
      </c>
      <c r="J513" s="28" t="s">
        <v>608</v>
      </c>
      <c r="K513" s="222"/>
      <c r="L513" s="222"/>
      <c r="M513" s="28" t="s">
        <v>5167</v>
      </c>
      <c r="N513" s="6" t="s">
        <v>5176</v>
      </c>
      <c r="O513" s="6" t="s">
        <v>608</v>
      </c>
      <c r="P513" s="222" t="s">
        <v>3838</v>
      </c>
      <c r="Q513" s="175" t="s">
        <v>608</v>
      </c>
      <c r="R513" s="28" t="s">
        <v>608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28" t="s">
        <v>608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1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5177</v>
      </c>
      <c r="B514" s="222" t="s">
        <v>4903</v>
      </c>
      <c r="C514" s="28" t="s">
        <v>24</v>
      </c>
      <c r="D514" s="28" t="s">
        <v>5178</v>
      </c>
      <c r="E514" s="6" t="s">
        <v>649</v>
      </c>
      <c r="F514" s="28" t="s">
        <v>94</v>
      </c>
      <c r="G514" s="222" t="s">
        <v>4589</v>
      </c>
      <c r="H514" s="28" t="s">
        <v>608</v>
      </c>
      <c r="I514" s="6" t="s">
        <v>608</v>
      </c>
      <c r="J514" s="28" t="s">
        <v>608</v>
      </c>
      <c r="K514" s="222"/>
      <c r="L514" s="222"/>
      <c r="M514" s="28" t="s">
        <v>5167</v>
      </c>
      <c r="N514" s="6" t="s">
        <v>5179</v>
      </c>
      <c r="O514" s="6" t="s">
        <v>608</v>
      </c>
      <c r="P514" s="222" t="s">
        <v>3838</v>
      </c>
      <c r="Q514" s="175" t="s">
        <v>608</v>
      </c>
      <c r="R514" s="28" t="s">
        <v>608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28" t="s">
        <v>608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1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5180</v>
      </c>
      <c r="B515" s="222" t="s">
        <v>4903</v>
      </c>
      <c r="C515" s="28" t="s">
        <v>24</v>
      </c>
      <c r="D515" s="28" t="s">
        <v>5181</v>
      </c>
      <c r="E515" s="6" t="s">
        <v>655</v>
      </c>
      <c r="F515" s="28" t="s">
        <v>98</v>
      </c>
      <c r="G515" s="222" t="s">
        <v>4589</v>
      </c>
      <c r="H515" s="28" t="s">
        <v>5182</v>
      </c>
      <c r="I515" s="19" t="s">
        <v>5183</v>
      </c>
      <c r="J515" s="28" t="s">
        <v>608</v>
      </c>
      <c r="K515" s="222"/>
      <c r="L515" s="222"/>
      <c r="M515" s="28" t="s">
        <v>5167</v>
      </c>
      <c r="N515" s="6" t="s">
        <v>5184</v>
      </c>
      <c r="O515" s="6" t="s">
        <v>5185</v>
      </c>
      <c r="P515" s="222" t="s">
        <v>3838</v>
      </c>
      <c r="Q515" s="175" t="s">
        <v>608</v>
      </c>
      <c r="R515" s="175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28" t="s">
        <v>608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1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5186</v>
      </c>
      <c r="B516" s="222" t="s">
        <v>4903</v>
      </c>
      <c r="C516" s="28" t="s">
        <v>24</v>
      </c>
      <c r="D516" s="28" t="s">
        <v>5187</v>
      </c>
      <c r="E516" s="6" t="s">
        <v>661</v>
      </c>
      <c r="F516" s="28" t="s">
        <v>94</v>
      </c>
      <c r="G516" s="222" t="s">
        <v>4589</v>
      </c>
      <c r="H516" s="28" t="s">
        <v>608</v>
      </c>
      <c r="I516" s="6" t="s">
        <v>608</v>
      </c>
      <c r="J516" s="28" t="s">
        <v>608</v>
      </c>
      <c r="K516" s="222"/>
      <c r="L516" s="222"/>
      <c r="M516" s="28" t="s">
        <v>5167</v>
      </c>
      <c r="N516" s="6" t="s">
        <v>5188</v>
      </c>
      <c r="O516" s="6" t="s">
        <v>608</v>
      </c>
      <c r="P516" s="222" t="s">
        <v>3838</v>
      </c>
      <c r="Q516" s="175" t="s">
        <v>608</v>
      </c>
      <c r="R516" s="28" t="s">
        <v>608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28" t="s">
        <v>608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1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5189</v>
      </c>
      <c r="B517" s="222" t="s">
        <v>4903</v>
      </c>
      <c r="C517" s="28" t="s">
        <v>24</v>
      </c>
      <c r="D517" s="28" t="s">
        <v>5190</v>
      </c>
      <c r="E517" s="6" t="s">
        <v>666</v>
      </c>
      <c r="F517" s="28" t="s">
        <v>94</v>
      </c>
      <c r="G517" s="222" t="s">
        <v>4589</v>
      </c>
      <c r="H517" s="28" t="s">
        <v>608</v>
      </c>
      <c r="I517" s="6" t="s">
        <v>608</v>
      </c>
      <c r="J517" s="28" t="s">
        <v>608</v>
      </c>
      <c r="K517" s="222"/>
      <c r="L517" s="222"/>
      <c r="M517" s="222" t="s">
        <v>3731</v>
      </c>
      <c r="N517" s="6" t="s">
        <v>5191</v>
      </c>
      <c r="O517" s="6" t="s">
        <v>608</v>
      </c>
      <c r="P517" s="222" t="s">
        <v>3838</v>
      </c>
      <c r="Q517" s="175" t="s">
        <v>608</v>
      </c>
      <c r="R517" s="28" t="s">
        <v>608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28" t="s">
        <v>608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1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5192</v>
      </c>
      <c r="B518" s="222" t="s">
        <v>4903</v>
      </c>
      <c r="C518" s="28" t="s">
        <v>24</v>
      </c>
      <c r="D518" s="28" t="s">
        <v>5193</v>
      </c>
      <c r="E518" s="6" t="s">
        <v>606</v>
      </c>
      <c r="F518" s="222" t="s">
        <v>4588</v>
      </c>
      <c r="G518" s="222" t="s">
        <v>4589</v>
      </c>
      <c r="H518" s="28" t="s">
        <v>608</v>
      </c>
      <c r="I518" s="6" t="s">
        <v>608</v>
      </c>
      <c r="J518" s="28" t="s">
        <v>608</v>
      </c>
      <c r="K518" s="222"/>
      <c r="L518" s="222"/>
      <c r="M518" s="28" t="s">
        <v>608</v>
      </c>
      <c r="N518" s="19" t="s">
        <v>5194</v>
      </c>
      <c r="O518" s="6" t="s">
        <v>608</v>
      </c>
      <c r="P518" s="222" t="s">
        <v>3838</v>
      </c>
      <c r="Q518" s="175" t="s">
        <v>608</v>
      </c>
      <c r="R518" s="28" t="s">
        <v>608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28" t="s">
        <v>608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1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5195</v>
      </c>
      <c r="B519" s="222" t="s">
        <v>4903</v>
      </c>
      <c r="C519" s="28" t="s">
        <v>24</v>
      </c>
      <c r="D519" s="28" t="s">
        <v>5196</v>
      </c>
      <c r="E519" s="6" t="s">
        <v>606</v>
      </c>
      <c r="F519" s="222" t="s">
        <v>5015</v>
      </c>
      <c r="G519" s="222" t="s">
        <v>4589</v>
      </c>
      <c r="H519" s="28" t="s">
        <v>608</v>
      </c>
      <c r="I519" s="19" t="s">
        <v>5197</v>
      </c>
      <c r="J519" s="28" t="s">
        <v>5198</v>
      </c>
      <c r="K519" s="222"/>
      <c r="L519" s="222"/>
      <c r="M519" s="222" t="s">
        <v>3731</v>
      </c>
      <c r="N519" s="19" t="s">
        <v>5199</v>
      </c>
      <c r="O519" s="6" t="s">
        <v>608</v>
      </c>
      <c r="P519" s="222" t="s">
        <v>3838</v>
      </c>
      <c r="Q519" s="175" t="s">
        <v>608</v>
      </c>
      <c r="R519" s="28" t="s">
        <v>608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28" t="s">
        <v>608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1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5200</v>
      </c>
      <c r="B520" s="222" t="s">
        <v>4903</v>
      </c>
      <c r="C520" s="28" t="s">
        <v>24</v>
      </c>
      <c r="D520" s="28" t="s">
        <v>5201</v>
      </c>
      <c r="E520" s="6" t="s">
        <v>661</v>
      </c>
      <c r="F520" s="222" t="s">
        <v>5015</v>
      </c>
      <c r="G520" s="222" t="s">
        <v>4589</v>
      </c>
      <c r="H520" s="28" t="s">
        <v>608</v>
      </c>
      <c r="I520" s="19" t="s">
        <v>5197</v>
      </c>
      <c r="J520" s="28" t="s">
        <v>5198</v>
      </c>
      <c r="K520" s="222"/>
      <c r="L520" s="222"/>
      <c r="M520" s="222" t="s">
        <v>3731</v>
      </c>
      <c r="N520" s="19" t="s">
        <v>5202</v>
      </c>
      <c r="O520" s="6" t="s">
        <v>608</v>
      </c>
      <c r="P520" s="222" t="s">
        <v>3838</v>
      </c>
      <c r="Q520" s="175" t="s">
        <v>608</v>
      </c>
      <c r="R520" s="28" t="s">
        <v>608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28" t="s">
        <v>608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1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5203</v>
      </c>
      <c r="B521" s="222" t="s">
        <v>4903</v>
      </c>
      <c r="C521" s="28" t="s">
        <v>24</v>
      </c>
      <c r="D521" s="28" t="s">
        <v>5204</v>
      </c>
      <c r="E521" s="6" t="s">
        <v>606</v>
      </c>
      <c r="F521" s="28" t="s">
        <v>94</v>
      </c>
      <c r="G521" s="222" t="s">
        <v>4589</v>
      </c>
      <c r="H521" s="28" t="s">
        <v>608</v>
      </c>
      <c r="I521" s="6" t="s">
        <v>608</v>
      </c>
      <c r="J521" s="28" t="s">
        <v>608</v>
      </c>
      <c r="K521" s="222"/>
      <c r="L521" s="222"/>
      <c r="M521" s="28" t="s">
        <v>5205</v>
      </c>
      <c r="N521" s="19" t="s">
        <v>5206</v>
      </c>
      <c r="O521" s="6" t="s">
        <v>608</v>
      </c>
      <c r="P521" s="222" t="s">
        <v>3838</v>
      </c>
      <c r="Q521" s="175" t="s">
        <v>608</v>
      </c>
      <c r="R521" s="28" t="s">
        <v>608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28" t="s">
        <v>608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1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5207</v>
      </c>
      <c r="B522" s="222" t="s">
        <v>4903</v>
      </c>
      <c r="C522" s="28" t="s">
        <v>24</v>
      </c>
      <c r="D522" s="28" t="s">
        <v>5208</v>
      </c>
      <c r="E522" s="6" t="s">
        <v>606</v>
      </c>
      <c r="F522" s="28" t="s">
        <v>86</v>
      </c>
      <c r="G522" s="222" t="s">
        <v>4589</v>
      </c>
      <c r="H522" s="28" t="s">
        <v>608</v>
      </c>
      <c r="I522" s="6" t="s">
        <v>608</v>
      </c>
      <c r="J522" s="28" t="s">
        <v>4876</v>
      </c>
      <c r="K522" s="222"/>
      <c r="L522" s="222"/>
      <c r="M522" s="222" t="s">
        <v>3731</v>
      </c>
      <c r="N522" s="19" t="s">
        <v>5209</v>
      </c>
      <c r="O522" s="6" t="s">
        <v>608</v>
      </c>
      <c r="P522" s="222" t="s">
        <v>3838</v>
      </c>
      <c r="Q522" s="175" t="s">
        <v>608</v>
      </c>
      <c r="R522" s="28" t="s">
        <v>608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28" t="s">
        <v>608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1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5210</v>
      </c>
      <c r="B523" s="222" t="s">
        <v>4903</v>
      </c>
      <c r="C523" s="28" t="s">
        <v>4856</v>
      </c>
      <c r="D523" s="28" t="s">
        <v>3998</v>
      </c>
      <c r="E523" s="19" t="s">
        <v>5211</v>
      </c>
      <c r="F523" s="28" t="s">
        <v>98</v>
      </c>
      <c r="G523" s="222" t="s">
        <v>3835</v>
      </c>
      <c r="H523" s="28" t="s">
        <v>5212</v>
      </c>
      <c r="I523" s="19" t="s">
        <v>5213</v>
      </c>
      <c r="J523" s="28" t="s">
        <v>608</v>
      </c>
      <c r="K523" s="224" t="n">
        <v>0.18</v>
      </c>
      <c r="L523" s="224" t="n">
        <v>0.35</v>
      </c>
      <c r="M523" s="28" t="s">
        <v>5214</v>
      </c>
      <c r="N523" s="19" t="s">
        <v>5215</v>
      </c>
      <c r="O523" s="6" t="s">
        <v>608</v>
      </c>
      <c r="P523" s="222" t="s">
        <v>1138</v>
      </c>
      <c r="Q523" s="185" t="n">
        <f aca="false">Train_In!C6</f>
        <v>0.25</v>
      </c>
      <c r="R523" s="175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3839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1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5216</v>
      </c>
      <c r="B524" s="222" t="s">
        <v>4903</v>
      </c>
      <c r="C524" s="28" t="s">
        <v>4856</v>
      </c>
      <c r="D524" s="28" t="s">
        <v>4325</v>
      </c>
      <c r="E524" s="6" t="s">
        <v>913</v>
      </c>
      <c r="F524" s="28" t="s">
        <v>98</v>
      </c>
      <c r="G524" s="222" t="s">
        <v>3835</v>
      </c>
      <c r="H524" s="28" t="s">
        <v>5217</v>
      </c>
      <c r="I524" s="19" t="s">
        <v>5218</v>
      </c>
      <c r="J524" s="28" t="s">
        <v>608</v>
      </c>
      <c r="K524" s="224" t="n">
        <v>0.8</v>
      </c>
      <c r="L524" s="224" t="n">
        <v>0.95</v>
      </c>
      <c r="M524" s="28" t="s">
        <v>5219</v>
      </c>
      <c r="N524" s="6" t="s">
        <v>5220</v>
      </c>
      <c r="O524" s="6" t="s">
        <v>608</v>
      </c>
      <c r="P524" s="222" t="s">
        <v>1138</v>
      </c>
      <c r="Q524" s="185" t="n">
        <f aca="false">Train_In!C7</f>
        <v>0.9</v>
      </c>
      <c r="R524" s="175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3839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1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5221</v>
      </c>
      <c r="B525" s="222" t="s">
        <v>4903</v>
      </c>
      <c r="C525" s="28" t="s">
        <v>4856</v>
      </c>
      <c r="D525" s="28" t="s">
        <v>4011</v>
      </c>
      <c r="E525" s="6" t="s">
        <v>915</v>
      </c>
      <c r="F525" s="28" t="s">
        <v>94</v>
      </c>
      <c r="G525" s="222" t="s">
        <v>3835</v>
      </c>
      <c r="H525" s="28" t="s">
        <v>608</v>
      </c>
      <c r="I525" s="6" t="s">
        <v>608</v>
      </c>
      <c r="J525" s="28" t="s">
        <v>608</v>
      </c>
      <c r="K525" s="224" t="n">
        <v>0.6</v>
      </c>
      <c r="L525" s="224" t="n">
        <v>1</v>
      </c>
      <c r="M525" s="28" t="s">
        <v>5222</v>
      </c>
      <c r="N525" s="6" t="s">
        <v>5223</v>
      </c>
      <c r="O525" s="6" t="s">
        <v>608</v>
      </c>
      <c r="P525" s="222" t="s">
        <v>1137</v>
      </c>
      <c r="Q525" s="183" t="n">
        <f aca="false">Train_In!C8</f>
        <v>0.8</v>
      </c>
      <c r="R525" s="28" t="s">
        <v>608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3839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1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5224</v>
      </c>
      <c r="B526" s="222" t="s">
        <v>4903</v>
      </c>
      <c r="C526" s="28" t="s">
        <v>4856</v>
      </c>
      <c r="D526" s="28" t="s">
        <v>4025</v>
      </c>
      <c r="E526" s="6" t="s">
        <v>917</v>
      </c>
      <c r="F526" s="28" t="s">
        <v>94</v>
      </c>
      <c r="G526" s="222" t="s">
        <v>3835</v>
      </c>
      <c r="H526" s="28" t="s">
        <v>608</v>
      </c>
      <c r="I526" s="6" t="s">
        <v>608</v>
      </c>
      <c r="J526" s="28" t="s">
        <v>608</v>
      </c>
      <c r="K526" s="224" t="n">
        <v>0.4</v>
      </c>
      <c r="L526" s="224" t="n">
        <v>0.9</v>
      </c>
      <c r="M526" s="28" t="s">
        <v>5225</v>
      </c>
      <c r="N526" s="6" t="s">
        <v>5226</v>
      </c>
      <c r="O526" s="6" t="s">
        <v>608</v>
      </c>
      <c r="P526" s="222" t="s">
        <v>3894</v>
      </c>
      <c r="Q526" s="183" t="n">
        <f aca="false">Train_In!C9</f>
        <v>0.6</v>
      </c>
      <c r="R526" s="28" t="s">
        <v>608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3839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1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5227</v>
      </c>
      <c r="B527" s="222" t="s">
        <v>4903</v>
      </c>
      <c r="C527" s="28" t="s">
        <v>4856</v>
      </c>
      <c r="D527" s="28" t="s">
        <v>4045</v>
      </c>
      <c r="E527" s="19" t="s">
        <v>5228</v>
      </c>
      <c r="F527" s="28" t="s">
        <v>94</v>
      </c>
      <c r="G527" s="222" t="s">
        <v>3835</v>
      </c>
      <c r="H527" s="28" t="s">
        <v>608</v>
      </c>
      <c r="I527" s="6" t="s">
        <v>608</v>
      </c>
      <c r="J527" s="28" t="s">
        <v>608</v>
      </c>
      <c r="K527" s="224" t="n">
        <v>0</v>
      </c>
      <c r="L527" s="224" t="n">
        <v>1</v>
      </c>
      <c r="M527" s="28" t="s">
        <v>5229</v>
      </c>
      <c r="N527" s="6" t="s">
        <v>5230</v>
      </c>
      <c r="O527" s="6" t="s">
        <v>608</v>
      </c>
      <c r="P527" s="222" t="s">
        <v>3838</v>
      </c>
      <c r="Q527" s="31" t="n">
        <f aca="false">Train_In!C10</f>
        <v>0</v>
      </c>
      <c r="R527" s="28" t="s">
        <v>608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3839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1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5231</v>
      </c>
      <c r="B528" s="222" t="s">
        <v>4903</v>
      </c>
      <c r="C528" s="28" t="s">
        <v>4856</v>
      </c>
      <c r="D528" s="28" t="s">
        <v>4056</v>
      </c>
      <c r="E528" s="6" t="s">
        <v>921</v>
      </c>
      <c r="F528" s="28" t="s">
        <v>98</v>
      </c>
      <c r="G528" s="222" t="s">
        <v>3835</v>
      </c>
      <c r="H528" s="28" t="s">
        <v>5182</v>
      </c>
      <c r="I528" s="19" t="s">
        <v>5232</v>
      </c>
      <c r="J528" s="28" t="s">
        <v>608</v>
      </c>
      <c r="K528" s="185" t="n">
        <f aca="false">Sens_Train!S64</f>
        <v>0.6</v>
      </c>
      <c r="L528" s="185" t="n">
        <f aca="false">Sens_Train!U64</f>
        <v>0.95</v>
      </c>
      <c r="M528" s="28" t="s">
        <v>608</v>
      </c>
      <c r="N528" s="6" t="s">
        <v>5233</v>
      </c>
      <c r="O528" s="6" t="s">
        <v>608</v>
      </c>
      <c r="P528" s="222" t="s">
        <v>3894</v>
      </c>
      <c r="Q528" s="185" t="n">
        <f aca="false">Train_In!C11</f>
        <v>0.85</v>
      </c>
      <c r="R528" s="175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3839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1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5234</v>
      </c>
      <c r="B529" s="222" t="s">
        <v>4903</v>
      </c>
      <c r="C529" s="28" t="s">
        <v>4856</v>
      </c>
      <c r="D529" s="28" t="s">
        <v>4077</v>
      </c>
      <c r="E529" s="6" t="s">
        <v>923</v>
      </c>
      <c r="F529" s="28" t="s">
        <v>94</v>
      </c>
      <c r="G529" s="222" t="s">
        <v>3835</v>
      </c>
      <c r="H529" s="28" t="s">
        <v>608</v>
      </c>
      <c r="I529" s="6" t="s">
        <v>608</v>
      </c>
      <c r="J529" s="28" t="s">
        <v>608</v>
      </c>
      <c r="K529" s="224" t="n">
        <v>8</v>
      </c>
      <c r="L529" s="224" t="n">
        <v>64</v>
      </c>
      <c r="M529" s="28" t="s">
        <v>5235</v>
      </c>
      <c r="N529" s="6" t="s">
        <v>5236</v>
      </c>
      <c r="O529" s="6" t="s">
        <v>4981</v>
      </c>
      <c r="P529" s="222" t="s">
        <v>1137</v>
      </c>
      <c r="Q529" s="31" t="n">
        <f aca="false">Train_In!C12</f>
        <v>16</v>
      </c>
      <c r="R529" s="28" t="s">
        <v>608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3839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1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5237</v>
      </c>
      <c r="B530" s="222" t="s">
        <v>4903</v>
      </c>
      <c r="C530" s="28" t="s">
        <v>4856</v>
      </c>
      <c r="D530" s="28" t="s">
        <v>4097</v>
      </c>
      <c r="E530" s="19" t="s">
        <v>5238</v>
      </c>
      <c r="F530" s="28" t="s">
        <v>98</v>
      </c>
      <c r="G530" s="222" t="s">
        <v>3835</v>
      </c>
      <c r="H530" s="28" t="s">
        <v>2880</v>
      </c>
      <c r="I530" s="19" t="s">
        <v>5239</v>
      </c>
      <c r="J530" s="28" t="s">
        <v>5240</v>
      </c>
      <c r="K530" s="190" t="n">
        <f aca="false">Sens_Train!AC119</f>
        <v>4.4</v>
      </c>
      <c r="L530" s="190" t="n">
        <f aca="false">Sens_Train!AE119</f>
        <v>10.4</v>
      </c>
      <c r="M530" s="28" t="s">
        <v>608</v>
      </c>
      <c r="N530" s="6" t="s">
        <v>5241</v>
      </c>
      <c r="O530" s="6" t="s">
        <v>608</v>
      </c>
      <c r="P530" s="222" t="s">
        <v>1138</v>
      </c>
      <c r="Q530" s="190" t="n">
        <f aca="false">Train_In!C13</f>
        <v>8</v>
      </c>
      <c r="R530" s="175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3839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1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5242</v>
      </c>
      <c r="B531" s="222" t="s">
        <v>4903</v>
      </c>
      <c r="C531" s="28" t="s">
        <v>4856</v>
      </c>
      <c r="D531" s="28" t="s">
        <v>4350</v>
      </c>
      <c r="E531" s="19" t="s">
        <v>5243</v>
      </c>
      <c r="F531" s="28" t="s">
        <v>94</v>
      </c>
      <c r="G531" s="222" t="s">
        <v>3835</v>
      </c>
      <c r="H531" s="28" t="s">
        <v>608</v>
      </c>
      <c r="I531" s="6" t="s">
        <v>608</v>
      </c>
      <c r="J531" s="28" t="s">
        <v>608</v>
      </c>
      <c r="K531" s="224" t="n">
        <v>2</v>
      </c>
      <c r="L531" s="224" t="n">
        <v>3</v>
      </c>
      <c r="M531" s="28" t="s">
        <v>5244</v>
      </c>
      <c r="N531" s="19" t="s">
        <v>5245</v>
      </c>
      <c r="O531" s="6" t="s">
        <v>608</v>
      </c>
      <c r="P531" s="222" t="s">
        <v>3838</v>
      </c>
      <c r="Q531" s="31" t="n">
        <f aca="false">Train_In!C15</f>
        <v>3</v>
      </c>
      <c r="R531" s="28" t="s">
        <v>608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3839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1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5246</v>
      </c>
      <c r="B532" s="222" t="s">
        <v>4903</v>
      </c>
      <c r="C532" s="28" t="s">
        <v>4856</v>
      </c>
      <c r="D532" s="28" t="s">
        <v>4355</v>
      </c>
      <c r="E532" s="19" t="s">
        <v>932</v>
      </c>
      <c r="F532" s="28" t="s">
        <v>86</v>
      </c>
      <c r="G532" s="222" t="s">
        <v>3835</v>
      </c>
      <c r="H532" s="28" t="s">
        <v>608</v>
      </c>
      <c r="I532" s="6" t="s">
        <v>608</v>
      </c>
      <c r="J532" s="28" t="s">
        <v>5247</v>
      </c>
      <c r="K532" s="222"/>
      <c r="L532" s="222"/>
      <c r="M532" s="222" t="s">
        <v>3731</v>
      </c>
      <c r="N532" s="6" t="s">
        <v>5248</v>
      </c>
      <c r="O532" s="6" t="s">
        <v>608</v>
      </c>
      <c r="P532" s="222" t="s">
        <v>3838</v>
      </c>
      <c r="Q532" s="31" t="n">
        <f aca="false">Train_In!C16</f>
        <v>4</v>
      </c>
      <c r="R532" s="28" t="s">
        <v>608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3839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1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5249</v>
      </c>
      <c r="B533" s="222" t="s">
        <v>4903</v>
      </c>
      <c r="C533" s="28" t="s">
        <v>4856</v>
      </c>
      <c r="D533" s="28" t="s">
        <v>4377</v>
      </c>
      <c r="E533" s="19" t="s">
        <v>935</v>
      </c>
      <c r="F533" s="28" t="s">
        <v>86</v>
      </c>
      <c r="G533" s="222" t="s">
        <v>3835</v>
      </c>
      <c r="H533" s="28" t="s">
        <v>608</v>
      </c>
      <c r="I533" s="6" t="s">
        <v>608</v>
      </c>
      <c r="J533" s="28" t="s">
        <v>5247</v>
      </c>
      <c r="K533" s="222"/>
      <c r="L533" s="222"/>
      <c r="M533" s="222" t="s">
        <v>3731</v>
      </c>
      <c r="N533" s="6" t="s">
        <v>5250</v>
      </c>
      <c r="O533" s="6" t="s">
        <v>608</v>
      </c>
      <c r="P533" s="222" t="s">
        <v>3838</v>
      </c>
      <c r="Q533" s="31" t="n">
        <f aca="false">Train_In!C17</f>
        <v>3</v>
      </c>
      <c r="R533" s="28" t="s">
        <v>608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3839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1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5251</v>
      </c>
      <c r="B534" s="222" t="s">
        <v>4903</v>
      </c>
      <c r="C534" s="28" t="s">
        <v>4856</v>
      </c>
      <c r="D534" s="28" t="s">
        <v>5252</v>
      </c>
      <c r="E534" s="19" t="s">
        <v>5253</v>
      </c>
      <c r="F534" s="28" t="s">
        <v>94</v>
      </c>
      <c r="G534" s="222" t="s">
        <v>4589</v>
      </c>
      <c r="H534" s="28" t="s">
        <v>608</v>
      </c>
      <c r="I534" s="6" t="s">
        <v>608</v>
      </c>
      <c r="J534" s="28" t="s">
        <v>608</v>
      </c>
      <c r="K534" s="222"/>
      <c r="L534" s="222"/>
      <c r="M534" s="222" t="s">
        <v>5254</v>
      </c>
      <c r="N534" s="19" t="s">
        <v>5255</v>
      </c>
      <c r="O534" s="6" t="s">
        <v>608</v>
      </c>
      <c r="P534" s="222" t="s">
        <v>1138</v>
      </c>
      <c r="Q534" s="175" t="s">
        <v>608</v>
      </c>
      <c r="R534" s="28" t="s">
        <v>608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28" t="s">
        <v>608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1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5256</v>
      </c>
      <c r="B535" s="222" t="s">
        <v>4903</v>
      </c>
      <c r="C535" s="28" t="s">
        <v>4856</v>
      </c>
      <c r="D535" s="28" t="s">
        <v>3985</v>
      </c>
      <c r="E535" s="19" t="s">
        <v>4857</v>
      </c>
      <c r="F535" s="28" t="s">
        <v>94</v>
      </c>
      <c r="G535" s="222" t="s">
        <v>3835</v>
      </c>
      <c r="H535" s="28" t="s">
        <v>608</v>
      </c>
      <c r="I535" s="6" t="s">
        <v>608</v>
      </c>
      <c r="J535" s="28" t="s">
        <v>5257</v>
      </c>
      <c r="K535" s="224" t="n">
        <v>30</v>
      </c>
      <c r="L535" s="224" t="n">
        <v>100</v>
      </c>
      <c r="M535" s="28" t="s">
        <v>5258</v>
      </c>
      <c r="N535" s="6" t="s">
        <v>5259</v>
      </c>
      <c r="O535" s="6" t="s">
        <v>608</v>
      </c>
      <c r="P535" s="222" t="s">
        <v>1138</v>
      </c>
      <c r="Q535" s="186" t="n">
        <f aca="false">Train_In!E25</f>
        <v>60</v>
      </c>
      <c r="R535" s="28" t="s">
        <v>608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3839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1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5260</v>
      </c>
      <c r="B536" s="222" t="s">
        <v>4903</v>
      </c>
      <c r="C536" s="28" t="s">
        <v>4856</v>
      </c>
      <c r="D536" s="28" t="s">
        <v>3989</v>
      </c>
      <c r="E536" s="19" t="s">
        <v>4862</v>
      </c>
      <c r="F536" s="28" t="s">
        <v>94</v>
      </c>
      <c r="G536" s="222" t="s">
        <v>3835</v>
      </c>
      <c r="H536" s="28" t="s">
        <v>4863</v>
      </c>
      <c r="I536" s="6" t="s">
        <v>608</v>
      </c>
      <c r="J536" s="28" t="s">
        <v>608</v>
      </c>
      <c r="K536" s="224" t="n">
        <v>4096</v>
      </c>
      <c r="L536" s="224" t="n">
        <v>16384</v>
      </c>
      <c r="M536" s="28" t="s">
        <v>5261</v>
      </c>
      <c r="N536" s="6" t="s">
        <v>5262</v>
      </c>
      <c r="O536" s="6" t="s">
        <v>608</v>
      </c>
      <c r="P536" s="222" t="s">
        <v>3894</v>
      </c>
      <c r="Q536" s="46" t="n">
        <f aca="false">Train_In!E26</f>
        <v>8192</v>
      </c>
      <c r="R536" s="175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3839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1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5263</v>
      </c>
      <c r="B537" s="222" t="s">
        <v>4903</v>
      </c>
      <c r="C537" s="28" t="s">
        <v>4856</v>
      </c>
      <c r="D537" s="28" t="s">
        <v>5264</v>
      </c>
      <c r="E537" s="19" t="s">
        <v>5265</v>
      </c>
      <c r="F537" s="28" t="s">
        <v>94</v>
      </c>
      <c r="G537" s="222" t="s">
        <v>4589</v>
      </c>
      <c r="H537" s="28" t="s">
        <v>608</v>
      </c>
      <c r="I537" s="6" t="s">
        <v>608</v>
      </c>
      <c r="J537" s="28" t="s">
        <v>608</v>
      </c>
      <c r="K537" s="222"/>
      <c r="L537" s="222"/>
      <c r="M537" s="28" t="s">
        <v>5266</v>
      </c>
      <c r="N537" s="19" t="s">
        <v>5267</v>
      </c>
      <c r="O537" s="6" t="s">
        <v>608</v>
      </c>
      <c r="P537" s="222" t="s">
        <v>1137</v>
      </c>
      <c r="Q537" s="175" t="s">
        <v>608</v>
      </c>
      <c r="R537" s="28" t="s">
        <v>608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28" t="s">
        <v>608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1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5268</v>
      </c>
      <c r="B538" s="222" t="s">
        <v>4903</v>
      </c>
      <c r="C538" s="28" t="s">
        <v>4856</v>
      </c>
      <c r="D538" s="28" t="s">
        <v>5269</v>
      </c>
      <c r="E538" s="19" t="s">
        <v>948</v>
      </c>
      <c r="F538" s="28" t="s">
        <v>94</v>
      </c>
      <c r="G538" s="222" t="s">
        <v>4589</v>
      </c>
      <c r="H538" s="28" t="s">
        <v>608</v>
      </c>
      <c r="I538" s="6" t="s">
        <v>608</v>
      </c>
      <c r="J538" s="28" t="s">
        <v>608</v>
      </c>
      <c r="K538" s="222"/>
      <c r="L538" s="222"/>
      <c r="M538" s="222" t="s">
        <v>3731</v>
      </c>
      <c r="N538" s="19" t="s">
        <v>5270</v>
      </c>
      <c r="O538" s="6" t="s">
        <v>608</v>
      </c>
      <c r="P538" s="222" t="s">
        <v>1137</v>
      </c>
      <c r="Q538" s="175" t="s">
        <v>608</v>
      </c>
      <c r="R538" s="28" t="s">
        <v>608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28" t="s">
        <v>608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1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5271</v>
      </c>
      <c r="B539" s="222" t="s">
        <v>4903</v>
      </c>
      <c r="C539" s="28" t="s">
        <v>4856</v>
      </c>
      <c r="D539" s="28" t="s">
        <v>5272</v>
      </c>
      <c r="E539" s="6" t="s">
        <v>949</v>
      </c>
      <c r="F539" s="28" t="s">
        <v>94</v>
      </c>
      <c r="G539" s="222" t="s">
        <v>4589</v>
      </c>
      <c r="H539" s="28" t="s">
        <v>608</v>
      </c>
      <c r="I539" s="6" t="s">
        <v>608</v>
      </c>
      <c r="J539" s="28" t="s">
        <v>608</v>
      </c>
      <c r="K539" s="222"/>
      <c r="L539" s="222"/>
      <c r="M539" s="28" t="s">
        <v>5273</v>
      </c>
      <c r="N539" s="6" t="s">
        <v>949</v>
      </c>
      <c r="O539" s="6" t="s">
        <v>608</v>
      </c>
      <c r="P539" s="222" t="s">
        <v>1137</v>
      </c>
      <c r="Q539" s="175" t="s">
        <v>608</v>
      </c>
      <c r="R539" s="28" t="s">
        <v>608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28" t="s">
        <v>608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1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5274</v>
      </c>
      <c r="B540" s="222" t="s">
        <v>4903</v>
      </c>
      <c r="C540" s="28" t="s">
        <v>4856</v>
      </c>
      <c r="D540" s="28" t="s">
        <v>5275</v>
      </c>
      <c r="E540" s="6" t="s">
        <v>951</v>
      </c>
      <c r="F540" s="28" t="s">
        <v>94</v>
      </c>
      <c r="G540" s="222" t="s">
        <v>4589</v>
      </c>
      <c r="H540" s="28" t="s">
        <v>608</v>
      </c>
      <c r="I540" s="6" t="s">
        <v>608</v>
      </c>
      <c r="J540" s="28" t="s">
        <v>608</v>
      </c>
      <c r="K540" s="222"/>
      <c r="L540" s="222"/>
      <c r="M540" s="222" t="s">
        <v>3731</v>
      </c>
      <c r="N540" s="6" t="s">
        <v>5276</v>
      </c>
      <c r="O540" s="6" t="s">
        <v>608</v>
      </c>
      <c r="P540" s="222" t="s">
        <v>1137</v>
      </c>
      <c r="Q540" s="175" t="s">
        <v>608</v>
      </c>
      <c r="R540" s="28" t="s">
        <v>608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28" t="s">
        <v>608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1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5277</v>
      </c>
      <c r="B541" s="222" t="s">
        <v>4903</v>
      </c>
      <c r="C541" s="28" t="s">
        <v>4856</v>
      </c>
      <c r="D541" s="28" t="s">
        <v>4960</v>
      </c>
      <c r="E541" s="19" t="s">
        <v>5278</v>
      </c>
      <c r="F541" s="28" t="s">
        <v>94</v>
      </c>
      <c r="G541" s="222" t="s">
        <v>4589</v>
      </c>
      <c r="H541" s="28" t="s">
        <v>608</v>
      </c>
      <c r="I541" s="6" t="s">
        <v>608</v>
      </c>
      <c r="J541" s="28" t="s">
        <v>608</v>
      </c>
      <c r="K541" s="222"/>
      <c r="L541" s="222"/>
      <c r="M541" s="28" t="s">
        <v>5279</v>
      </c>
      <c r="N541" s="19" t="s">
        <v>5280</v>
      </c>
      <c r="O541" s="6" t="s">
        <v>608</v>
      </c>
      <c r="P541" s="222" t="s">
        <v>1137</v>
      </c>
      <c r="Q541" s="175" t="s">
        <v>608</v>
      </c>
      <c r="R541" s="28" t="s">
        <v>608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28" t="s">
        <v>608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1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5281</v>
      </c>
      <c r="B542" s="222" t="s">
        <v>4903</v>
      </c>
      <c r="C542" s="28" t="s">
        <v>4856</v>
      </c>
      <c r="D542" s="28" t="s">
        <v>4965</v>
      </c>
      <c r="E542" s="6" t="s">
        <v>954</v>
      </c>
      <c r="F542" s="28" t="s">
        <v>94</v>
      </c>
      <c r="G542" s="222" t="s">
        <v>4589</v>
      </c>
      <c r="H542" s="28" t="s">
        <v>608</v>
      </c>
      <c r="I542" s="6" t="s">
        <v>608</v>
      </c>
      <c r="J542" s="28" t="s">
        <v>608</v>
      </c>
      <c r="K542" s="222"/>
      <c r="L542" s="222"/>
      <c r="M542" s="222" t="s">
        <v>5282</v>
      </c>
      <c r="N542" s="6" t="s">
        <v>954</v>
      </c>
      <c r="O542" s="6" t="s">
        <v>608</v>
      </c>
      <c r="P542" s="222" t="s">
        <v>3894</v>
      </c>
      <c r="Q542" s="175" t="s">
        <v>608</v>
      </c>
      <c r="R542" s="28" t="s">
        <v>608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28" t="s">
        <v>608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1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5283</v>
      </c>
      <c r="B543" s="222" t="s">
        <v>4903</v>
      </c>
      <c r="C543" s="28" t="s">
        <v>4856</v>
      </c>
      <c r="D543" s="28" t="s">
        <v>5284</v>
      </c>
      <c r="E543" s="6" t="s">
        <v>955</v>
      </c>
      <c r="F543" s="28" t="s">
        <v>94</v>
      </c>
      <c r="G543" s="222" t="s">
        <v>4589</v>
      </c>
      <c r="H543" s="28" t="s">
        <v>608</v>
      </c>
      <c r="I543" s="6" t="s">
        <v>608</v>
      </c>
      <c r="J543" s="28" t="s">
        <v>608</v>
      </c>
      <c r="K543" s="222"/>
      <c r="L543" s="222"/>
      <c r="M543" s="222" t="s">
        <v>5282</v>
      </c>
      <c r="N543" s="6" t="s">
        <v>955</v>
      </c>
      <c r="O543" s="6" t="s">
        <v>608</v>
      </c>
      <c r="P543" s="222" t="s">
        <v>3894</v>
      </c>
      <c r="Q543" s="175" t="s">
        <v>608</v>
      </c>
      <c r="R543" s="28" t="s">
        <v>608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28" t="s">
        <v>608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1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5285</v>
      </c>
      <c r="B544" s="222" t="s">
        <v>4903</v>
      </c>
      <c r="C544" s="28" t="s">
        <v>4856</v>
      </c>
      <c r="D544" s="28" t="s">
        <v>5286</v>
      </c>
      <c r="E544" s="6" t="s">
        <v>957</v>
      </c>
      <c r="F544" s="28" t="s">
        <v>94</v>
      </c>
      <c r="G544" s="222" t="s">
        <v>4589</v>
      </c>
      <c r="H544" s="28" t="s">
        <v>608</v>
      </c>
      <c r="I544" s="6" t="s">
        <v>608</v>
      </c>
      <c r="J544" s="28" t="s">
        <v>5287</v>
      </c>
      <c r="K544" s="222"/>
      <c r="L544" s="222"/>
      <c r="M544" s="28" t="s">
        <v>5288</v>
      </c>
      <c r="N544" s="6" t="s">
        <v>5289</v>
      </c>
      <c r="O544" s="6" t="s">
        <v>608</v>
      </c>
      <c r="P544" s="222" t="s">
        <v>1138</v>
      </c>
      <c r="Q544" s="175" t="s">
        <v>608</v>
      </c>
      <c r="R544" s="28" t="s">
        <v>608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28" t="s">
        <v>608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1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5290</v>
      </c>
      <c r="B545" s="222" t="s">
        <v>4903</v>
      </c>
      <c r="C545" s="28" t="s">
        <v>4856</v>
      </c>
      <c r="D545" s="28" t="s">
        <v>5291</v>
      </c>
      <c r="E545" s="6" t="s">
        <v>959</v>
      </c>
      <c r="F545" s="28" t="s">
        <v>94</v>
      </c>
      <c r="G545" s="222" t="s">
        <v>4589</v>
      </c>
      <c r="H545" s="28" t="s">
        <v>608</v>
      </c>
      <c r="I545" s="6" t="s">
        <v>608</v>
      </c>
      <c r="J545" s="28" t="s">
        <v>608</v>
      </c>
      <c r="K545" s="222"/>
      <c r="L545" s="222"/>
      <c r="M545" s="28" t="s">
        <v>5292</v>
      </c>
      <c r="N545" s="6" t="s">
        <v>5293</v>
      </c>
      <c r="O545" s="6" t="s">
        <v>608</v>
      </c>
      <c r="P545" s="222" t="s">
        <v>1137</v>
      </c>
      <c r="Q545" s="175" t="s">
        <v>608</v>
      </c>
      <c r="R545" s="28" t="s">
        <v>608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28" t="s">
        <v>608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1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5294</v>
      </c>
      <c r="B546" s="222" t="s">
        <v>4903</v>
      </c>
      <c r="C546" s="28" t="s">
        <v>4856</v>
      </c>
      <c r="D546" s="28" t="s">
        <v>5295</v>
      </c>
      <c r="E546" s="19" t="s">
        <v>5296</v>
      </c>
      <c r="F546" s="28" t="s">
        <v>94</v>
      </c>
      <c r="G546" s="222" t="s">
        <v>4589</v>
      </c>
      <c r="H546" s="28" t="s">
        <v>608</v>
      </c>
      <c r="I546" s="6" t="s">
        <v>608</v>
      </c>
      <c r="J546" s="28" t="s">
        <v>608</v>
      </c>
      <c r="K546" s="222"/>
      <c r="L546" s="222"/>
      <c r="M546" s="222" t="s">
        <v>3731</v>
      </c>
      <c r="N546" s="19" t="s">
        <v>5297</v>
      </c>
      <c r="O546" s="6" t="s">
        <v>5298</v>
      </c>
      <c r="P546" s="222" t="s">
        <v>3838</v>
      </c>
      <c r="Q546" s="175" t="s">
        <v>608</v>
      </c>
      <c r="R546" s="28" t="s">
        <v>608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28" t="s">
        <v>608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1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5299</v>
      </c>
      <c r="B547" s="222" t="s">
        <v>4903</v>
      </c>
      <c r="C547" s="28" t="s">
        <v>4856</v>
      </c>
      <c r="D547" s="28" t="s">
        <v>5300</v>
      </c>
      <c r="E547" s="19" t="s">
        <v>5301</v>
      </c>
      <c r="F547" s="28" t="s">
        <v>94</v>
      </c>
      <c r="G547" s="222" t="s">
        <v>4589</v>
      </c>
      <c r="H547" s="28" t="s">
        <v>608</v>
      </c>
      <c r="I547" s="6" t="s">
        <v>608</v>
      </c>
      <c r="J547" s="28" t="s">
        <v>608</v>
      </c>
      <c r="K547" s="222"/>
      <c r="L547" s="222"/>
      <c r="M547" s="28" t="s">
        <v>5302</v>
      </c>
      <c r="N547" s="19" t="s">
        <v>5301</v>
      </c>
      <c r="O547" s="6" t="s">
        <v>608</v>
      </c>
      <c r="P547" s="222" t="s">
        <v>1137</v>
      </c>
      <c r="Q547" s="175" t="s">
        <v>608</v>
      </c>
      <c r="R547" s="28" t="s">
        <v>608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28" t="s">
        <v>608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1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5303</v>
      </c>
      <c r="B548" s="222" t="s">
        <v>4903</v>
      </c>
      <c r="C548" s="28" t="s">
        <v>4856</v>
      </c>
      <c r="D548" s="28" t="s">
        <v>5304</v>
      </c>
      <c r="E548" s="19" t="s">
        <v>5305</v>
      </c>
      <c r="F548" s="28" t="s">
        <v>94</v>
      </c>
      <c r="G548" s="222" t="s">
        <v>4589</v>
      </c>
      <c r="H548" s="28" t="s">
        <v>608</v>
      </c>
      <c r="I548" s="6" t="s">
        <v>608</v>
      </c>
      <c r="J548" s="28" t="s">
        <v>608</v>
      </c>
      <c r="K548" s="222"/>
      <c r="L548" s="222"/>
      <c r="M548" s="222" t="s">
        <v>5282</v>
      </c>
      <c r="N548" s="19" t="s">
        <v>5305</v>
      </c>
      <c r="O548" s="6" t="s">
        <v>608</v>
      </c>
      <c r="P548" s="222" t="s">
        <v>1137</v>
      </c>
      <c r="Q548" s="175" t="s">
        <v>608</v>
      </c>
      <c r="R548" s="28" t="s">
        <v>608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28" t="s">
        <v>608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1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5306</v>
      </c>
      <c r="B549" s="222" t="s">
        <v>4903</v>
      </c>
      <c r="C549" s="28" t="s">
        <v>4856</v>
      </c>
      <c r="D549" s="28" t="s">
        <v>5307</v>
      </c>
      <c r="E549" s="6" t="s">
        <v>974</v>
      </c>
      <c r="F549" s="28" t="s">
        <v>3927</v>
      </c>
      <c r="G549" s="222" t="s">
        <v>3835</v>
      </c>
      <c r="H549" s="28" t="s">
        <v>2864</v>
      </c>
      <c r="I549" s="19" t="s">
        <v>5308</v>
      </c>
      <c r="J549" s="28" t="s">
        <v>608</v>
      </c>
      <c r="K549" s="222"/>
      <c r="L549" s="222"/>
      <c r="M549" s="28" t="s">
        <v>608</v>
      </c>
      <c r="N549" s="19" t="s">
        <v>5309</v>
      </c>
      <c r="O549" s="6" t="s">
        <v>608</v>
      </c>
      <c r="P549" s="222" t="s">
        <v>3838</v>
      </c>
      <c r="Q549" s="187" t="n">
        <f aca="false">Train_In!C44</f>
        <v>0.0551801801801802</v>
      </c>
      <c r="R549" s="175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3872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1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5310</v>
      </c>
      <c r="B550" s="222" t="s">
        <v>4903</v>
      </c>
      <c r="C550" s="28" t="s">
        <v>4856</v>
      </c>
      <c r="D550" s="28" t="s">
        <v>5311</v>
      </c>
      <c r="E550" s="19" t="s">
        <v>980</v>
      </c>
      <c r="F550" s="28" t="s">
        <v>98</v>
      </c>
      <c r="G550" s="222" t="s">
        <v>79</v>
      </c>
      <c r="H550" s="28" t="s">
        <v>5312</v>
      </c>
      <c r="I550" s="19" t="s">
        <v>5313</v>
      </c>
      <c r="J550" s="28" t="s">
        <v>5257</v>
      </c>
      <c r="K550" s="229" t="n">
        <f aca="false">Train_In!C46</f>
        <v>2E+026</v>
      </c>
      <c r="L550" s="229" t="n">
        <f aca="false">Train_In!C48</f>
        <v>2E+027</v>
      </c>
      <c r="M550" s="28" t="s">
        <v>608</v>
      </c>
      <c r="N550" s="6" t="s">
        <v>5314</v>
      </c>
      <c r="O550" s="6" t="s">
        <v>608</v>
      </c>
      <c r="P550" s="222" t="s">
        <v>3838</v>
      </c>
      <c r="Q550" s="229" t="n">
        <f aca="false">Train_In!C47</f>
        <v>5E+026</v>
      </c>
      <c r="R550" s="175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3839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1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5315</v>
      </c>
      <c r="B551" s="222" t="s">
        <v>4903</v>
      </c>
      <c r="C551" s="28" t="s">
        <v>4856</v>
      </c>
      <c r="D551" s="28" t="s">
        <v>5316</v>
      </c>
      <c r="E551" s="19" t="s">
        <v>978</v>
      </c>
      <c r="F551" s="28" t="s">
        <v>98</v>
      </c>
      <c r="G551" s="222" t="s">
        <v>1137</v>
      </c>
      <c r="H551" s="28" t="s">
        <v>5312</v>
      </c>
      <c r="I551" s="19" t="s">
        <v>3858</v>
      </c>
      <c r="J551" s="28" t="s">
        <v>5257</v>
      </c>
      <c r="K551" s="222"/>
      <c r="L551" s="222"/>
      <c r="M551" s="28" t="s">
        <v>608</v>
      </c>
      <c r="N551" s="19" t="s">
        <v>5317</v>
      </c>
      <c r="O551" s="6" t="s">
        <v>608</v>
      </c>
      <c r="P551" s="222" t="s">
        <v>3838</v>
      </c>
      <c r="Q551" s="229" t="n">
        <f aca="false">Train_In!C46</f>
        <v>2E+026</v>
      </c>
      <c r="R551" s="175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3839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1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5318</v>
      </c>
      <c r="B552" s="222" t="s">
        <v>4903</v>
      </c>
      <c r="C552" s="28" t="s">
        <v>4856</v>
      </c>
      <c r="D552" s="28" t="s">
        <v>5319</v>
      </c>
      <c r="E552" s="19" t="s">
        <v>981</v>
      </c>
      <c r="F552" s="28" t="s">
        <v>98</v>
      </c>
      <c r="G552" s="222" t="s">
        <v>1138</v>
      </c>
      <c r="H552" s="28" t="s">
        <v>5312</v>
      </c>
      <c r="I552" s="19" t="s">
        <v>3858</v>
      </c>
      <c r="J552" s="28" t="s">
        <v>5257</v>
      </c>
      <c r="K552" s="222"/>
      <c r="L552" s="222"/>
      <c r="M552" s="28" t="s">
        <v>608</v>
      </c>
      <c r="N552" s="19" t="s">
        <v>5320</v>
      </c>
      <c r="O552" s="6" t="s">
        <v>608</v>
      </c>
      <c r="P552" s="222" t="s">
        <v>3838</v>
      </c>
      <c r="Q552" s="229" t="n">
        <f aca="false">Train_In!C48</f>
        <v>2E+027</v>
      </c>
      <c r="R552" s="175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3839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1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5321</v>
      </c>
      <c r="B553" s="222" t="s">
        <v>4903</v>
      </c>
      <c r="C553" s="28" t="s">
        <v>4885</v>
      </c>
      <c r="D553" s="28" t="s">
        <v>4832</v>
      </c>
      <c r="E553" s="19" t="s">
        <v>440</v>
      </c>
      <c r="F553" s="222" t="s">
        <v>4588</v>
      </c>
      <c r="G553" s="222" t="s">
        <v>4589</v>
      </c>
      <c r="H553" s="28" t="s">
        <v>608</v>
      </c>
      <c r="I553" s="6" t="s">
        <v>608</v>
      </c>
      <c r="J553" s="28" t="s">
        <v>608</v>
      </c>
      <c r="K553" s="222"/>
      <c r="L553" s="222"/>
      <c r="M553" s="28" t="s">
        <v>608</v>
      </c>
      <c r="N553" s="19" t="s">
        <v>440</v>
      </c>
      <c r="O553" s="6" t="s">
        <v>608</v>
      </c>
      <c r="P553" s="222" t="s">
        <v>3838</v>
      </c>
      <c r="Q553" s="175" t="s">
        <v>608</v>
      </c>
      <c r="R553" s="28" t="s">
        <v>608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28" t="s">
        <v>608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1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5322</v>
      </c>
      <c r="B554" s="222" t="s">
        <v>4903</v>
      </c>
      <c r="C554" s="28" t="s">
        <v>4885</v>
      </c>
      <c r="D554" s="28" t="s">
        <v>4834</v>
      </c>
      <c r="E554" s="19" t="s">
        <v>711</v>
      </c>
      <c r="F554" s="222" t="s">
        <v>4588</v>
      </c>
      <c r="G554" s="222" t="s">
        <v>4589</v>
      </c>
      <c r="H554" s="28" t="s">
        <v>608</v>
      </c>
      <c r="I554" s="6" t="s">
        <v>608</v>
      </c>
      <c r="J554" s="28" t="s">
        <v>608</v>
      </c>
      <c r="K554" s="222"/>
      <c r="L554" s="222"/>
      <c r="M554" s="28" t="s">
        <v>608</v>
      </c>
      <c r="N554" s="19" t="s">
        <v>711</v>
      </c>
      <c r="O554" s="6" t="s">
        <v>608</v>
      </c>
      <c r="P554" s="222" t="s">
        <v>3838</v>
      </c>
      <c r="Q554" s="175" t="s">
        <v>608</v>
      </c>
      <c r="R554" s="28" t="s">
        <v>608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28" t="s">
        <v>608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1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5323</v>
      </c>
      <c r="B555" s="222" t="s">
        <v>4903</v>
      </c>
      <c r="C555" s="28" t="s">
        <v>4885</v>
      </c>
      <c r="D555" s="28" t="s">
        <v>5324</v>
      </c>
      <c r="E555" s="19" t="s">
        <v>5325</v>
      </c>
      <c r="F555" s="222" t="s">
        <v>369</v>
      </c>
      <c r="G555" s="222" t="s">
        <v>4589</v>
      </c>
      <c r="H555" s="28" t="s">
        <v>608</v>
      </c>
      <c r="I555" s="6" t="s">
        <v>608</v>
      </c>
      <c r="J555" s="28" t="s">
        <v>608</v>
      </c>
      <c r="K555" s="222"/>
      <c r="L555" s="222"/>
      <c r="M555" s="28" t="s">
        <v>608</v>
      </c>
      <c r="N555" s="6" t="s">
        <v>5326</v>
      </c>
      <c r="O555" s="6" t="s">
        <v>608</v>
      </c>
      <c r="P555" s="222" t="s">
        <v>3838</v>
      </c>
      <c r="Q555" s="175" t="s">
        <v>608</v>
      </c>
      <c r="R555" s="28" t="s">
        <v>608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28" t="s">
        <v>608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1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5327</v>
      </c>
      <c r="B556" s="222" t="s">
        <v>4903</v>
      </c>
      <c r="C556" s="28" t="s">
        <v>4885</v>
      </c>
      <c r="D556" s="28" t="s">
        <v>5328</v>
      </c>
      <c r="E556" s="6" t="s">
        <v>999</v>
      </c>
      <c r="F556" s="222" t="s">
        <v>369</v>
      </c>
      <c r="G556" s="222" t="s">
        <v>4589</v>
      </c>
      <c r="H556" s="28" t="s">
        <v>608</v>
      </c>
      <c r="I556" s="6" t="s">
        <v>608</v>
      </c>
      <c r="J556" s="28" t="s">
        <v>608</v>
      </c>
      <c r="K556" s="222"/>
      <c r="L556" s="222"/>
      <c r="M556" s="28" t="s">
        <v>608</v>
      </c>
      <c r="N556" s="6" t="s">
        <v>5329</v>
      </c>
      <c r="O556" s="6" t="s">
        <v>608</v>
      </c>
      <c r="P556" s="222" t="s">
        <v>3838</v>
      </c>
      <c r="Q556" s="175" t="s">
        <v>608</v>
      </c>
      <c r="R556" s="28" t="s">
        <v>608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28" t="s">
        <v>608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1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5330</v>
      </c>
      <c r="B557" s="222" t="s">
        <v>4903</v>
      </c>
      <c r="C557" s="28" t="s">
        <v>4885</v>
      </c>
      <c r="D557" s="28" t="s">
        <v>5331</v>
      </c>
      <c r="E557" s="19" t="s">
        <v>5332</v>
      </c>
      <c r="F557" s="222" t="s">
        <v>369</v>
      </c>
      <c r="G557" s="222" t="s">
        <v>4589</v>
      </c>
      <c r="H557" s="28" t="s">
        <v>608</v>
      </c>
      <c r="I557" s="6" t="s">
        <v>608</v>
      </c>
      <c r="J557" s="28" t="s">
        <v>608</v>
      </c>
      <c r="K557" s="222"/>
      <c r="L557" s="222"/>
      <c r="M557" s="28" t="s">
        <v>608</v>
      </c>
      <c r="N557" s="6" t="s">
        <v>5333</v>
      </c>
      <c r="O557" s="6" t="s">
        <v>608</v>
      </c>
      <c r="P557" s="222" t="s">
        <v>3838</v>
      </c>
      <c r="Q557" s="175" t="s">
        <v>608</v>
      </c>
      <c r="R557" s="28" t="s">
        <v>608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28" t="s">
        <v>608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1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5334</v>
      </c>
      <c r="B558" s="222" t="s">
        <v>4903</v>
      </c>
      <c r="C558" s="28" t="s">
        <v>4885</v>
      </c>
      <c r="D558" s="28" t="s">
        <v>5335</v>
      </c>
      <c r="E558" s="6" t="s">
        <v>1032</v>
      </c>
      <c r="F558" s="222" t="s">
        <v>369</v>
      </c>
      <c r="G558" s="222" t="s">
        <v>4589</v>
      </c>
      <c r="H558" s="28" t="s">
        <v>608</v>
      </c>
      <c r="I558" s="6" t="s">
        <v>608</v>
      </c>
      <c r="J558" s="28" t="s">
        <v>608</v>
      </c>
      <c r="K558" s="222"/>
      <c r="L558" s="222"/>
      <c r="M558" s="28" t="s">
        <v>608</v>
      </c>
      <c r="N558" s="6" t="s">
        <v>5336</v>
      </c>
      <c r="O558" s="6" t="s">
        <v>608</v>
      </c>
      <c r="P558" s="222" t="s">
        <v>3838</v>
      </c>
      <c r="Q558" s="175" t="s">
        <v>608</v>
      </c>
      <c r="R558" s="28" t="s">
        <v>608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28" t="s">
        <v>608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1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5337</v>
      </c>
      <c r="B559" s="222" t="s">
        <v>4903</v>
      </c>
      <c r="C559" s="28" t="s">
        <v>4885</v>
      </c>
      <c r="D559" s="28" t="s">
        <v>5338</v>
      </c>
      <c r="E559" s="19" t="s">
        <v>1086</v>
      </c>
      <c r="F559" s="222" t="s">
        <v>369</v>
      </c>
      <c r="G559" s="222" t="s">
        <v>4589</v>
      </c>
      <c r="H559" s="28" t="s">
        <v>608</v>
      </c>
      <c r="I559" s="6" t="s">
        <v>608</v>
      </c>
      <c r="J559" s="28" t="s">
        <v>608</v>
      </c>
      <c r="K559" s="222"/>
      <c r="L559" s="222"/>
      <c r="M559" s="28" t="s">
        <v>608</v>
      </c>
      <c r="N559" s="6" t="s">
        <v>5339</v>
      </c>
      <c r="O559" s="6" t="s">
        <v>608</v>
      </c>
      <c r="P559" s="222" t="s">
        <v>3838</v>
      </c>
      <c r="Q559" s="175" t="s">
        <v>608</v>
      </c>
      <c r="R559" s="28" t="s">
        <v>608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28" t="s">
        <v>608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1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5340</v>
      </c>
      <c r="B560" s="222" t="s">
        <v>4903</v>
      </c>
      <c r="C560" s="28" t="s">
        <v>5341</v>
      </c>
      <c r="D560" s="28" t="s">
        <v>5342</v>
      </c>
      <c r="E560" s="19" t="s">
        <v>440</v>
      </c>
      <c r="F560" s="222" t="s">
        <v>4588</v>
      </c>
      <c r="G560" s="222" t="s">
        <v>4589</v>
      </c>
      <c r="H560" s="28" t="s">
        <v>608</v>
      </c>
      <c r="I560" s="6" t="s">
        <v>608</v>
      </c>
      <c r="J560" s="28" t="s">
        <v>608</v>
      </c>
      <c r="K560" s="222"/>
      <c r="L560" s="222"/>
      <c r="M560" s="28" t="s">
        <v>608</v>
      </c>
      <c r="N560" s="19" t="s">
        <v>440</v>
      </c>
      <c r="O560" s="6" t="s">
        <v>608</v>
      </c>
      <c r="P560" s="222" t="s">
        <v>3838</v>
      </c>
      <c r="Q560" s="175" t="s">
        <v>608</v>
      </c>
      <c r="R560" s="28" t="s">
        <v>608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28" t="s">
        <v>608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1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5343</v>
      </c>
      <c r="B561" s="222" t="s">
        <v>4903</v>
      </c>
      <c r="C561" s="28" t="s">
        <v>5341</v>
      </c>
      <c r="D561" s="28" t="s">
        <v>5344</v>
      </c>
      <c r="E561" s="19" t="s">
        <v>711</v>
      </c>
      <c r="F561" s="222" t="s">
        <v>4588</v>
      </c>
      <c r="G561" s="222" t="s">
        <v>4589</v>
      </c>
      <c r="H561" s="28" t="s">
        <v>608</v>
      </c>
      <c r="I561" s="6" t="s">
        <v>608</v>
      </c>
      <c r="J561" s="28" t="s">
        <v>608</v>
      </c>
      <c r="K561" s="222"/>
      <c r="L561" s="222"/>
      <c r="M561" s="28" t="s">
        <v>608</v>
      </c>
      <c r="N561" s="19" t="s">
        <v>711</v>
      </c>
      <c r="O561" s="6" t="s">
        <v>608</v>
      </c>
      <c r="P561" s="222" t="s">
        <v>3838</v>
      </c>
      <c r="Q561" s="175" t="s">
        <v>608</v>
      </c>
      <c r="R561" s="28" t="s">
        <v>608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28" t="s">
        <v>608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1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5345</v>
      </c>
      <c r="B562" s="222" t="s">
        <v>4903</v>
      </c>
      <c r="C562" s="28" t="s">
        <v>5341</v>
      </c>
      <c r="D562" s="28" t="s">
        <v>5346</v>
      </c>
      <c r="E562" s="19" t="s">
        <v>5347</v>
      </c>
      <c r="F562" s="222" t="s">
        <v>369</v>
      </c>
      <c r="G562" s="222" t="s">
        <v>4589</v>
      </c>
      <c r="H562" s="28" t="s">
        <v>608</v>
      </c>
      <c r="I562" s="6" t="s">
        <v>608</v>
      </c>
      <c r="J562" s="28" t="s">
        <v>5348</v>
      </c>
      <c r="K562" s="222"/>
      <c r="L562" s="222"/>
      <c r="M562" s="28" t="s">
        <v>608</v>
      </c>
      <c r="N562" s="6" t="s">
        <v>5349</v>
      </c>
      <c r="O562" s="6" t="s">
        <v>608</v>
      </c>
      <c r="P562" s="222" t="s">
        <v>3838</v>
      </c>
      <c r="Q562" s="175" t="s">
        <v>608</v>
      </c>
      <c r="R562" s="28" t="s">
        <v>608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28" t="s">
        <v>608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1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5350</v>
      </c>
      <c r="B563" s="222" t="s">
        <v>4903</v>
      </c>
      <c r="C563" s="28" t="s">
        <v>3587</v>
      </c>
      <c r="D563" s="28" t="s">
        <v>4827</v>
      </c>
      <c r="E563" s="19" t="s">
        <v>440</v>
      </c>
      <c r="F563" s="222" t="s">
        <v>4588</v>
      </c>
      <c r="G563" s="222" t="s">
        <v>4589</v>
      </c>
      <c r="H563" s="28" t="s">
        <v>608</v>
      </c>
      <c r="I563" s="6" t="s">
        <v>608</v>
      </c>
      <c r="J563" s="28" t="s">
        <v>608</v>
      </c>
      <c r="K563" s="222"/>
      <c r="L563" s="222"/>
      <c r="M563" s="28" t="s">
        <v>608</v>
      </c>
      <c r="N563" s="19" t="s">
        <v>440</v>
      </c>
      <c r="O563" s="6" t="s">
        <v>608</v>
      </c>
      <c r="P563" s="222" t="s">
        <v>3838</v>
      </c>
      <c r="Q563" s="175" t="s">
        <v>608</v>
      </c>
      <c r="R563" s="28" t="s">
        <v>608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28" t="s">
        <v>608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1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5351</v>
      </c>
      <c r="B564" s="222" t="s">
        <v>4903</v>
      </c>
      <c r="C564" s="28" t="s">
        <v>3587</v>
      </c>
      <c r="D564" s="28" t="s">
        <v>4830</v>
      </c>
      <c r="E564" s="19" t="s">
        <v>711</v>
      </c>
      <c r="F564" s="222" t="s">
        <v>4588</v>
      </c>
      <c r="G564" s="222" t="s">
        <v>4589</v>
      </c>
      <c r="H564" s="28" t="s">
        <v>608</v>
      </c>
      <c r="I564" s="6" t="s">
        <v>608</v>
      </c>
      <c r="J564" s="28" t="s">
        <v>608</v>
      </c>
      <c r="K564" s="222"/>
      <c r="L564" s="222"/>
      <c r="M564" s="28" t="s">
        <v>608</v>
      </c>
      <c r="N564" s="19" t="s">
        <v>711</v>
      </c>
      <c r="O564" s="6" t="s">
        <v>608</v>
      </c>
      <c r="P564" s="222" t="s">
        <v>3838</v>
      </c>
      <c r="Q564" s="175" t="s">
        <v>608</v>
      </c>
      <c r="R564" s="28" t="s">
        <v>608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28" t="s">
        <v>608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1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5352</v>
      </c>
      <c r="B565" s="222" t="s">
        <v>4903</v>
      </c>
      <c r="C565" s="28" t="s">
        <v>4894</v>
      </c>
      <c r="D565" s="28" t="s">
        <v>5353</v>
      </c>
      <c r="E565" s="19" t="s">
        <v>5354</v>
      </c>
      <c r="F565" s="222" t="s">
        <v>369</v>
      </c>
      <c r="G565" s="222" t="s">
        <v>4589</v>
      </c>
      <c r="H565" s="28" t="s">
        <v>608</v>
      </c>
      <c r="I565" s="6" t="s">
        <v>608</v>
      </c>
      <c r="J565" s="28" t="s">
        <v>608</v>
      </c>
      <c r="K565" s="222"/>
      <c r="L565" s="222"/>
      <c r="M565" s="28" t="s">
        <v>608</v>
      </c>
      <c r="N565" s="6" t="s">
        <v>5355</v>
      </c>
      <c r="O565" s="6" t="s">
        <v>608</v>
      </c>
      <c r="P565" s="222" t="s">
        <v>3838</v>
      </c>
      <c r="Q565" s="175" t="s">
        <v>608</v>
      </c>
      <c r="R565" s="28" t="s">
        <v>608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28" t="s">
        <v>608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1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5356</v>
      </c>
      <c r="B566" s="222" t="s">
        <v>4903</v>
      </c>
      <c r="C566" s="28" t="s">
        <v>4894</v>
      </c>
      <c r="D566" s="28" t="s">
        <v>5357</v>
      </c>
      <c r="E566" s="19" t="s">
        <v>5358</v>
      </c>
      <c r="F566" s="222" t="s">
        <v>369</v>
      </c>
      <c r="G566" s="222" t="s">
        <v>4589</v>
      </c>
      <c r="H566" s="28" t="s">
        <v>608</v>
      </c>
      <c r="I566" s="6" t="s">
        <v>608</v>
      </c>
      <c r="J566" s="28" t="s">
        <v>608</v>
      </c>
      <c r="K566" s="222"/>
      <c r="L566" s="222"/>
      <c r="M566" s="28" t="s">
        <v>608</v>
      </c>
      <c r="N566" s="6" t="s">
        <v>5359</v>
      </c>
      <c r="O566" s="6" t="s">
        <v>608</v>
      </c>
      <c r="P566" s="222" t="s">
        <v>3838</v>
      </c>
      <c r="Q566" s="175" t="s">
        <v>608</v>
      </c>
      <c r="R566" s="28" t="s">
        <v>608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28" t="s">
        <v>608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1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5360</v>
      </c>
      <c r="B567" s="222" t="s">
        <v>4903</v>
      </c>
      <c r="C567" s="28" t="s">
        <v>4894</v>
      </c>
      <c r="D567" s="28" t="s">
        <v>5361</v>
      </c>
      <c r="E567" s="19" t="s">
        <v>5362</v>
      </c>
      <c r="F567" s="222" t="s">
        <v>369</v>
      </c>
      <c r="G567" s="222" t="s">
        <v>4589</v>
      </c>
      <c r="H567" s="28" t="s">
        <v>608</v>
      </c>
      <c r="I567" s="6" t="s">
        <v>608</v>
      </c>
      <c r="J567" s="28" t="s">
        <v>608</v>
      </c>
      <c r="K567" s="222"/>
      <c r="L567" s="222"/>
      <c r="M567" s="28" t="s">
        <v>608</v>
      </c>
      <c r="N567" s="6" t="s">
        <v>5363</v>
      </c>
      <c r="O567" s="6" t="s">
        <v>608</v>
      </c>
      <c r="P567" s="222" t="s">
        <v>3838</v>
      </c>
      <c r="Q567" s="175" t="s">
        <v>608</v>
      </c>
      <c r="R567" s="28" t="s">
        <v>608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28" t="s">
        <v>608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1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5364</v>
      </c>
      <c r="B568" s="222" t="s">
        <v>4903</v>
      </c>
      <c r="C568" s="28" t="s">
        <v>4894</v>
      </c>
      <c r="D568" s="28" t="s">
        <v>5365</v>
      </c>
      <c r="E568" s="19" t="s">
        <v>5366</v>
      </c>
      <c r="F568" s="222" t="s">
        <v>369</v>
      </c>
      <c r="G568" s="222" t="s">
        <v>4589</v>
      </c>
      <c r="H568" s="28" t="s">
        <v>608</v>
      </c>
      <c r="I568" s="6" t="s">
        <v>608</v>
      </c>
      <c r="J568" s="28" t="s">
        <v>608</v>
      </c>
      <c r="K568" s="222"/>
      <c r="L568" s="222"/>
      <c r="M568" s="28" t="s">
        <v>608</v>
      </c>
      <c r="N568" s="6" t="s">
        <v>5367</v>
      </c>
      <c r="O568" s="6" t="s">
        <v>608</v>
      </c>
      <c r="P568" s="222" t="s">
        <v>3838</v>
      </c>
      <c r="Q568" s="175" t="s">
        <v>608</v>
      </c>
      <c r="R568" s="28" t="s">
        <v>608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28" t="s">
        <v>608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1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5368</v>
      </c>
      <c r="B569" s="222" t="s">
        <v>4903</v>
      </c>
      <c r="C569" s="28" t="s">
        <v>4894</v>
      </c>
      <c r="D569" s="28" t="s">
        <v>5369</v>
      </c>
      <c r="E569" s="19" t="s">
        <v>5370</v>
      </c>
      <c r="F569" s="222" t="s">
        <v>369</v>
      </c>
      <c r="G569" s="222" t="s">
        <v>4589</v>
      </c>
      <c r="H569" s="28" t="s">
        <v>608</v>
      </c>
      <c r="I569" s="6" t="s">
        <v>608</v>
      </c>
      <c r="J569" s="28" t="s">
        <v>608</v>
      </c>
      <c r="K569" s="222"/>
      <c r="L569" s="222"/>
      <c r="M569" s="28" t="s">
        <v>608</v>
      </c>
      <c r="N569" s="6" t="s">
        <v>5371</v>
      </c>
      <c r="O569" s="6" t="s">
        <v>608</v>
      </c>
      <c r="P569" s="222" t="s">
        <v>3838</v>
      </c>
      <c r="Q569" s="175" t="s">
        <v>608</v>
      </c>
      <c r="R569" s="28" t="s">
        <v>608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28" t="s">
        <v>608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1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5372</v>
      </c>
      <c r="B570" s="222" t="s">
        <v>4903</v>
      </c>
      <c r="C570" s="28" t="s">
        <v>4894</v>
      </c>
      <c r="D570" s="28" t="s">
        <v>5373</v>
      </c>
      <c r="E570" s="6" t="s">
        <v>1884</v>
      </c>
      <c r="F570" s="222" t="s">
        <v>369</v>
      </c>
      <c r="G570" s="222" t="s">
        <v>4589</v>
      </c>
      <c r="H570" s="28" t="s">
        <v>608</v>
      </c>
      <c r="I570" s="6" t="s">
        <v>608</v>
      </c>
      <c r="J570" s="28" t="s">
        <v>608</v>
      </c>
      <c r="K570" s="222"/>
      <c r="L570" s="222"/>
      <c r="M570" s="28" t="s">
        <v>608</v>
      </c>
      <c r="N570" s="6" t="s">
        <v>5374</v>
      </c>
      <c r="O570" s="6" t="s">
        <v>608</v>
      </c>
      <c r="P570" s="222" t="s">
        <v>3838</v>
      </c>
      <c r="Q570" s="31" t="n">
        <f aca="false">Sens_Rev!B17</f>
        <v>7</v>
      </c>
      <c r="R570" s="28" t="s">
        <v>608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3839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1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5375</v>
      </c>
      <c r="B571" s="222" t="s">
        <v>4903</v>
      </c>
      <c r="C571" s="28" t="s">
        <v>4894</v>
      </c>
      <c r="D571" s="28" t="s">
        <v>5376</v>
      </c>
      <c r="E571" s="19" t="s">
        <v>5377</v>
      </c>
      <c r="F571" s="222" t="s">
        <v>369</v>
      </c>
      <c r="G571" s="222" t="s">
        <v>4589</v>
      </c>
      <c r="H571" s="28" t="s">
        <v>608</v>
      </c>
      <c r="I571" s="6" t="s">
        <v>608</v>
      </c>
      <c r="J571" s="28" t="s">
        <v>608</v>
      </c>
      <c r="K571" s="222"/>
      <c r="L571" s="222"/>
      <c r="M571" s="28" t="s">
        <v>608</v>
      </c>
      <c r="N571" s="6" t="s">
        <v>5378</v>
      </c>
      <c r="O571" s="6" t="s">
        <v>608</v>
      </c>
      <c r="P571" s="222" t="s">
        <v>3838</v>
      </c>
      <c r="Q571" s="175" t="s">
        <v>608</v>
      </c>
      <c r="R571" s="28" t="s">
        <v>608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28" t="s">
        <v>608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1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5379</v>
      </c>
      <c r="B572" s="222" t="s">
        <v>4903</v>
      </c>
      <c r="C572" s="28" t="s">
        <v>5380</v>
      </c>
      <c r="D572" s="28" t="s">
        <v>5381</v>
      </c>
      <c r="E572" s="19" t="s">
        <v>92</v>
      </c>
      <c r="F572" s="222" t="s">
        <v>369</v>
      </c>
      <c r="G572" s="222" t="s">
        <v>4589</v>
      </c>
      <c r="H572" s="28" t="s">
        <v>608</v>
      </c>
      <c r="I572" s="6" t="s">
        <v>608</v>
      </c>
      <c r="J572" s="28" t="s">
        <v>608</v>
      </c>
      <c r="K572" s="222"/>
      <c r="L572" s="222"/>
      <c r="M572" s="28" t="s">
        <v>608</v>
      </c>
      <c r="N572" s="19" t="s">
        <v>5382</v>
      </c>
      <c r="O572" s="6" t="s">
        <v>608</v>
      </c>
      <c r="P572" s="28" t="s">
        <v>608</v>
      </c>
      <c r="Q572" s="175" t="s">
        <v>608</v>
      </c>
      <c r="R572" s="28" t="s">
        <v>608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28" t="s">
        <v>608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1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5383</v>
      </c>
      <c r="B573" s="222" t="s">
        <v>4903</v>
      </c>
      <c r="C573" s="28" t="s">
        <v>5380</v>
      </c>
      <c r="D573" s="28" t="s">
        <v>5384</v>
      </c>
      <c r="E573" s="6" t="s">
        <v>883</v>
      </c>
      <c r="F573" s="222" t="s">
        <v>369</v>
      </c>
      <c r="G573" s="222" t="s">
        <v>4589</v>
      </c>
      <c r="H573" s="28" t="s">
        <v>608</v>
      </c>
      <c r="I573" s="6" t="s">
        <v>608</v>
      </c>
      <c r="J573" s="28" t="s">
        <v>608</v>
      </c>
      <c r="K573" s="222"/>
      <c r="L573" s="222"/>
      <c r="M573" s="28" t="s">
        <v>608</v>
      </c>
      <c r="N573" s="6" t="s">
        <v>5385</v>
      </c>
      <c r="O573" s="6" t="s">
        <v>608</v>
      </c>
      <c r="P573" s="222" t="s">
        <v>3838</v>
      </c>
      <c r="Q573" s="31" t="n">
        <f aca="false">Sensitivity!N37</f>
        <v>7</v>
      </c>
      <c r="R573" s="28" t="s">
        <v>608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3839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1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5386</v>
      </c>
      <c r="B574" s="222" t="s">
        <v>5387</v>
      </c>
      <c r="C574" s="28" t="s">
        <v>4320</v>
      </c>
      <c r="D574" s="28" t="s">
        <v>5388</v>
      </c>
      <c r="E574" s="19" t="s">
        <v>5389</v>
      </c>
      <c r="F574" s="28" t="s">
        <v>94</v>
      </c>
      <c r="G574" s="222" t="s">
        <v>4589</v>
      </c>
      <c r="H574" s="28" t="s">
        <v>608</v>
      </c>
      <c r="I574" s="6" t="s">
        <v>608</v>
      </c>
      <c r="J574" s="28" t="s">
        <v>608</v>
      </c>
      <c r="K574" s="222" t="n">
        <v>4</v>
      </c>
      <c r="L574" s="222" t="n">
        <v>130</v>
      </c>
      <c r="M574" s="28" t="s">
        <v>5390</v>
      </c>
      <c r="N574" s="6" t="s">
        <v>5391</v>
      </c>
      <c r="O574" s="6" t="s">
        <v>608</v>
      </c>
      <c r="P574" s="28" t="s">
        <v>608</v>
      </c>
      <c r="Q574" s="175" t="s">
        <v>608</v>
      </c>
      <c r="R574" s="28" t="s">
        <v>608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28" t="s">
        <v>608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1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5392</v>
      </c>
      <c r="B575" s="222" t="s">
        <v>5387</v>
      </c>
      <c r="C575" s="28" t="s">
        <v>4320</v>
      </c>
      <c r="D575" s="28" t="s">
        <v>3964</v>
      </c>
      <c r="E575" s="6" t="s">
        <v>310</v>
      </c>
      <c r="F575" s="28" t="s">
        <v>98</v>
      </c>
      <c r="G575" s="222" t="s">
        <v>3835</v>
      </c>
      <c r="H575" s="28" t="s">
        <v>4728</v>
      </c>
      <c r="I575" s="19" t="s">
        <v>5393</v>
      </c>
      <c r="J575" s="28" t="s">
        <v>608</v>
      </c>
      <c r="K575" s="222"/>
      <c r="L575" s="222"/>
      <c r="M575" s="222" t="s">
        <v>3731</v>
      </c>
      <c r="N575" s="6" t="s">
        <v>5394</v>
      </c>
      <c r="O575" s="6" t="s">
        <v>608</v>
      </c>
      <c r="P575" s="222" t="s">
        <v>1137</v>
      </c>
      <c r="Q575" s="46" t="n">
        <f aca="false">Arch!E35</f>
        <v>576</v>
      </c>
      <c r="R575" s="175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3839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1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5395</v>
      </c>
      <c r="B576" s="222" t="s">
        <v>5387</v>
      </c>
      <c r="C576" s="28" t="s">
        <v>4320</v>
      </c>
      <c r="D576" s="28" t="s">
        <v>5396</v>
      </c>
      <c r="E576" s="6" t="s">
        <v>313</v>
      </c>
      <c r="F576" s="28" t="s">
        <v>94</v>
      </c>
      <c r="G576" s="222" t="s">
        <v>3835</v>
      </c>
      <c r="H576" s="28" t="s">
        <v>608</v>
      </c>
      <c r="I576" s="6" t="s">
        <v>608</v>
      </c>
      <c r="J576" s="28" t="s">
        <v>608</v>
      </c>
      <c r="K576" s="224" t="n">
        <v>0.15</v>
      </c>
      <c r="L576" s="224" t="n">
        <v>0.5</v>
      </c>
      <c r="M576" s="28" t="s">
        <v>5397</v>
      </c>
      <c r="N576" s="6" t="s">
        <v>5398</v>
      </c>
      <c r="O576" s="6" t="s">
        <v>608</v>
      </c>
      <c r="P576" s="222" t="s">
        <v>3838</v>
      </c>
      <c r="Q576" s="185" t="n">
        <f aca="false">Arch!E36</f>
        <v>0.26</v>
      </c>
      <c r="R576" s="28" t="s">
        <v>608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3839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1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5399</v>
      </c>
      <c r="B577" s="222" t="s">
        <v>5387</v>
      </c>
      <c r="C577" s="28" t="s">
        <v>4320</v>
      </c>
      <c r="D577" s="28" t="s">
        <v>5400</v>
      </c>
      <c r="E577" s="6" t="s">
        <v>315</v>
      </c>
      <c r="F577" s="28" t="s">
        <v>94</v>
      </c>
      <c r="G577" s="222" t="s">
        <v>3835</v>
      </c>
      <c r="H577" s="28" t="s">
        <v>608</v>
      </c>
      <c r="I577" s="6" t="s">
        <v>608</v>
      </c>
      <c r="J577" s="28" t="s">
        <v>608</v>
      </c>
      <c r="K577" s="222"/>
      <c r="L577" s="222"/>
      <c r="M577" s="222" t="s">
        <v>3731</v>
      </c>
      <c r="N577" s="6" t="s">
        <v>5401</v>
      </c>
      <c r="O577" s="6" t="s">
        <v>608</v>
      </c>
      <c r="P577" s="222" t="s">
        <v>3838</v>
      </c>
      <c r="Q577" s="46" t="n">
        <f aca="false">Arch!E37</f>
        <v>8</v>
      </c>
      <c r="R577" s="28" t="s">
        <v>608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3839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1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5402</v>
      </c>
      <c r="B578" s="222" t="s">
        <v>5387</v>
      </c>
      <c r="C578" s="28" t="s">
        <v>4320</v>
      </c>
      <c r="D578" s="28" t="s">
        <v>4987</v>
      </c>
      <c r="E578" s="6" t="s">
        <v>318</v>
      </c>
      <c r="F578" s="222" t="s">
        <v>319</v>
      </c>
      <c r="G578" s="222" t="s">
        <v>3835</v>
      </c>
      <c r="H578" s="28" t="s">
        <v>4221</v>
      </c>
      <c r="I578" s="19" t="s">
        <v>3870</v>
      </c>
      <c r="J578" s="28" t="s">
        <v>608</v>
      </c>
      <c r="K578" s="222"/>
      <c r="L578" s="222"/>
      <c r="M578" s="28" t="s">
        <v>608</v>
      </c>
      <c r="N578" s="6" t="s">
        <v>5403</v>
      </c>
      <c r="O578" s="6" t="s">
        <v>608</v>
      </c>
      <c r="P578" s="222" t="s">
        <v>1137</v>
      </c>
      <c r="Q578" s="46" t="n">
        <f aca="false">Arch!C38</f>
        <v>1</v>
      </c>
      <c r="R578" s="175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3872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1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5404</v>
      </c>
      <c r="B579" s="222" t="s">
        <v>5405</v>
      </c>
      <c r="C579" s="28" t="s">
        <v>5406</v>
      </c>
      <c r="D579" s="28" t="s">
        <v>4494</v>
      </c>
      <c r="E579" s="19" t="s">
        <v>2138</v>
      </c>
      <c r="F579" s="28" t="s">
        <v>86</v>
      </c>
      <c r="G579" s="222" t="s">
        <v>3835</v>
      </c>
      <c r="H579" s="28" t="s">
        <v>608</v>
      </c>
      <c r="I579" s="6" t="s">
        <v>608</v>
      </c>
      <c r="J579" s="28" t="s">
        <v>5407</v>
      </c>
      <c r="K579" s="222"/>
      <c r="L579" s="222"/>
      <c r="M579" s="222" t="s">
        <v>3731</v>
      </c>
      <c r="N579" s="6" t="s">
        <v>5408</v>
      </c>
      <c r="O579" s="6" t="s">
        <v>608</v>
      </c>
      <c r="P579" s="222" t="s">
        <v>3838</v>
      </c>
      <c r="Q579" s="175" t="str">
        <f aca="false">Alloc_In!C5</f>
        <v>OpenAI</v>
      </c>
      <c r="R579" s="28" t="s">
        <v>608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3839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1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5409</v>
      </c>
      <c r="B580" s="222" t="s">
        <v>5405</v>
      </c>
      <c r="C580" s="28" t="s">
        <v>5406</v>
      </c>
      <c r="D580" s="28" t="s">
        <v>3998</v>
      </c>
      <c r="E580" s="19" t="s">
        <v>5410</v>
      </c>
      <c r="F580" s="28" t="s">
        <v>94</v>
      </c>
      <c r="G580" s="222" t="s">
        <v>79</v>
      </c>
      <c r="H580" s="28" t="s">
        <v>608</v>
      </c>
      <c r="I580" s="6" t="s">
        <v>608</v>
      </c>
      <c r="J580" s="28" t="s">
        <v>608</v>
      </c>
      <c r="K580" s="190" t="n">
        <f aca="false">Alloc_In!D6</f>
        <v>1</v>
      </c>
      <c r="L580" s="190" t="n">
        <f aca="false">Alloc_In!E6</f>
        <v>2</v>
      </c>
      <c r="M580" s="28" t="s">
        <v>608</v>
      </c>
      <c r="N580" s="6" t="s">
        <v>5411</v>
      </c>
      <c r="O580" s="6" t="s">
        <v>608</v>
      </c>
      <c r="P580" s="222" t="s">
        <v>1138</v>
      </c>
      <c r="Q580" s="190" t="n">
        <f aca="false">Alloc_In!C6</f>
        <v>1</v>
      </c>
      <c r="R580" s="28" t="s">
        <v>608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3839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1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5412</v>
      </c>
      <c r="B581" s="222" t="s">
        <v>5405</v>
      </c>
      <c r="C581" s="28" t="s">
        <v>5406</v>
      </c>
      <c r="D581" s="28" t="s">
        <v>5413</v>
      </c>
      <c r="E581" s="19" t="s">
        <v>5410</v>
      </c>
      <c r="F581" s="28" t="s">
        <v>94</v>
      </c>
      <c r="G581" s="222" t="s">
        <v>4910</v>
      </c>
      <c r="H581" s="28" t="s">
        <v>608</v>
      </c>
      <c r="I581" s="6" t="s">
        <v>608</v>
      </c>
      <c r="J581" s="28" t="s">
        <v>608</v>
      </c>
      <c r="K581" s="222"/>
      <c r="L581" s="222"/>
      <c r="M581" s="28" t="s">
        <v>5414</v>
      </c>
      <c r="N581" s="6" t="s">
        <v>5415</v>
      </c>
      <c r="O581" s="6" t="s">
        <v>608</v>
      </c>
      <c r="P581" s="28" t="s">
        <v>608</v>
      </c>
      <c r="Q581" s="175" t="s">
        <v>608</v>
      </c>
      <c r="R581" s="28" t="s">
        <v>608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28" t="s">
        <v>608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1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5416</v>
      </c>
      <c r="B582" s="222" t="s">
        <v>5405</v>
      </c>
      <c r="C582" s="28" t="s">
        <v>5406</v>
      </c>
      <c r="D582" s="28" t="s">
        <v>4325</v>
      </c>
      <c r="E582" s="19" t="s">
        <v>5417</v>
      </c>
      <c r="F582" s="28" t="s">
        <v>94</v>
      </c>
      <c r="G582" s="222" t="s">
        <v>79</v>
      </c>
      <c r="H582" s="28" t="s">
        <v>608</v>
      </c>
      <c r="I582" s="6" t="s">
        <v>608</v>
      </c>
      <c r="J582" s="28" t="s">
        <v>608</v>
      </c>
      <c r="K582" s="190" t="n">
        <f aca="false">Alloc_In!D7</f>
        <v>0</v>
      </c>
      <c r="L582" s="190" t="n">
        <f aca="false">Alloc_In!E7</f>
        <v>6</v>
      </c>
      <c r="M582" s="28" t="s">
        <v>5418</v>
      </c>
      <c r="N582" s="6" t="s">
        <v>5419</v>
      </c>
      <c r="O582" s="6" t="s">
        <v>608</v>
      </c>
      <c r="P582" s="222" t="s">
        <v>1138</v>
      </c>
      <c r="Q582" s="190" t="n">
        <f aca="false">Alloc_In!C7</f>
        <v>2</v>
      </c>
      <c r="R582" s="28" t="s">
        <v>608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3839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1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5420</v>
      </c>
      <c r="B583" s="222" t="s">
        <v>5405</v>
      </c>
      <c r="C583" s="28" t="s">
        <v>5406</v>
      </c>
      <c r="D583" s="28" t="s">
        <v>5421</v>
      </c>
      <c r="E583" s="19" t="s">
        <v>5417</v>
      </c>
      <c r="F583" s="28" t="s">
        <v>94</v>
      </c>
      <c r="G583" s="222" t="s">
        <v>4910</v>
      </c>
      <c r="H583" s="28" t="s">
        <v>608</v>
      </c>
      <c r="I583" s="6" t="s">
        <v>608</v>
      </c>
      <c r="J583" s="28" t="s">
        <v>608</v>
      </c>
      <c r="K583" s="222"/>
      <c r="L583" s="222"/>
      <c r="M583" s="28" t="s">
        <v>5422</v>
      </c>
      <c r="N583" s="6" t="s">
        <v>5423</v>
      </c>
      <c r="O583" s="6" t="s">
        <v>608</v>
      </c>
      <c r="P583" s="28" t="s">
        <v>608</v>
      </c>
      <c r="Q583" s="175" t="s">
        <v>608</v>
      </c>
      <c r="R583" s="28" t="s">
        <v>608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28" t="s">
        <v>608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1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5424</v>
      </c>
      <c r="B584" s="222" t="s">
        <v>5405</v>
      </c>
      <c r="C584" s="28" t="s">
        <v>5406</v>
      </c>
      <c r="D584" s="28" t="s">
        <v>4011</v>
      </c>
      <c r="E584" s="19" t="s">
        <v>5425</v>
      </c>
      <c r="F584" s="28" t="s">
        <v>94</v>
      </c>
      <c r="G584" s="222" t="s">
        <v>79</v>
      </c>
      <c r="H584" s="28" t="s">
        <v>608</v>
      </c>
      <c r="I584" s="6" t="s">
        <v>608</v>
      </c>
      <c r="J584" s="28" t="s">
        <v>608</v>
      </c>
      <c r="K584" s="190" t="n">
        <f aca="false">Alloc_In!D8</f>
        <v>0.5</v>
      </c>
      <c r="L584" s="190" t="n">
        <f aca="false">Alloc_In!E8</f>
        <v>7</v>
      </c>
      <c r="M584" s="28" t="s">
        <v>608</v>
      </c>
      <c r="N584" s="6" t="s">
        <v>5426</v>
      </c>
      <c r="O584" s="6" t="s">
        <v>608</v>
      </c>
      <c r="P584" s="222" t="s">
        <v>1138</v>
      </c>
      <c r="Q584" s="190" t="n">
        <f aca="false">Alloc_In!C8</f>
        <v>1</v>
      </c>
      <c r="R584" s="28" t="s">
        <v>608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3839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1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5427</v>
      </c>
      <c r="B585" s="222" t="s">
        <v>5405</v>
      </c>
      <c r="C585" s="28" t="s">
        <v>5406</v>
      </c>
      <c r="D585" s="28" t="s">
        <v>5428</v>
      </c>
      <c r="E585" s="19" t="s">
        <v>5425</v>
      </c>
      <c r="F585" s="28" t="s">
        <v>94</v>
      </c>
      <c r="G585" s="222" t="s">
        <v>4910</v>
      </c>
      <c r="H585" s="28" t="s">
        <v>608</v>
      </c>
      <c r="I585" s="6" t="s">
        <v>608</v>
      </c>
      <c r="J585" s="28" t="s">
        <v>608</v>
      </c>
      <c r="K585" s="222"/>
      <c r="L585" s="222"/>
      <c r="M585" s="28" t="s">
        <v>5429</v>
      </c>
      <c r="N585" s="6" t="s">
        <v>5430</v>
      </c>
      <c r="O585" s="6" t="s">
        <v>608</v>
      </c>
      <c r="P585" s="28" t="s">
        <v>608</v>
      </c>
      <c r="Q585" s="175" t="s">
        <v>608</v>
      </c>
      <c r="R585" s="28" t="s">
        <v>608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28" t="s">
        <v>608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1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5431</v>
      </c>
      <c r="B586" s="222" t="s">
        <v>5405</v>
      </c>
      <c r="C586" s="28" t="s">
        <v>5406</v>
      </c>
      <c r="D586" s="28" t="s">
        <v>4097</v>
      </c>
      <c r="E586" s="19" t="s">
        <v>5432</v>
      </c>
      <c r="F586" s="28" t="s">
        <v>94</v>
      </c>
      <c r="G586" s="222" t="s">
        <v>79</v>
      </c>
      <c r="H586" s="28" t="s">
        <v>608</v>
      </c>
      <c r="I586" s="6" t="s">
        <v>608</v>
      </c>
      <c r="J586" s="28" t="s">
        <v>608</v>
      </c>
      <c r="K586" s="185" t="n">
        <f aca="false">Alloc_In!D13</f>
        <v>0</v>
      </c>
      <c r="L586" s="185" t="n">
        <f aca="false">Alloc_In!E13</f>
        <v>1</v>
      </c>
      <c r="M586" s="28" t="s">
        <v>608</v>
      </c>
      <c r="N586" s="6" t="s">
        <v>5433</v>
      </c>
      <c r="O586" s="6" t="s">
        <v>608</v>
      </c>
      <c r="P586" s="222" t="s">
        <v>3838</v>
      </c>
      <c r="Q586" s="185" t="n">
        <f aca="false">Alloc_In!C13</f>
        <v>0</v>
      </c>
      <c r="R586" s="28" t="s">
        <v>608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3839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1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5434</v>
      </c>
      <c r="B587" s="222" t="s">
        <v>5405</v>
      </c>
      <c r="C587" s="28" t="s">
        <v>5406</v>
      </c>
      <c r="D587" s="28" t="s">
        <v>4916</v>
      </c>
      <c r="E587" s="19" t="s">
        <v>5432</v>
      </c>
      <c r="F587" s="28" t="s">
        <v>94</v>
      </c>
      <c r="G587" s="222" t="s">
        <v>4910</v>
      </c>
      <c r="H587" s="28" t="s">
        <v>608</v>
      </c>
      <c r="I587" s="6" t="s">
        <v>608</v>
      </c>
      <c r="J587" s="28" t="s">
        <v>608</v>
      </c>
      <c r="K587" s="222"/>
      <c r="L587" s="222"/>
      <c r="M587" s="28" t="s">
        <v>4917</v>
      </c>
      <c r="N587" s="6" t="s">
        <v>5433</v>
      </c>
      <c r="O587" s="6" t="s">
        <v>608</v>
      </c>
      <c r="P587" s="28" t="s">
        <v>608</v>
      </c>
      <c r="Q587" s="175" t="s">
        <v>608</v>
      </c>
      <c r="R587" s="28" t="s">
        <v>608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28" t="s">
        <v>608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1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5435</v>
      </c>
      <c r="B588" s="222" t="s">
        <v>5405</v>
      </c>
      <c r="C588" s="28" t="s">
        <v>5406</v>
      </c>
      <c r="D588" s="28" t="s">
        <v>4346</v>
      </c>
      <c r="E588" s="6" t="s">
        <v>2157</v>
      </c>
      <c r="F588" s="28" t="s">
        <v>94</v>
      </c>
      <c r="G588" s="222" t="s">
        <v>79</v>
      </c>
      <c r="H588" s="28" t="s">
        <v>5436</v>
      </c>
      <c r="I588" s="19" t="s">
        <v>5437</v>
      </c>
      <c r="J588" s="28" t="s">
        <v>608</v>
      </c>
      <c r="K588" s="190" t="n">
        <f aca="false">Alloc_In!D14</f>
        <v>0.6</v>
      </c>
      <c r="L588" s="190" t="n">
        <f aca="false">Alloc_In!E14</f>
        <v>0.9</v>
      </c>
      <c r="M588" s="28" t="s">
        <v>608</v>
      </c>
      <c r="N588" s="6" t="s">
        <v>5438</v>
      </c>
      <c r="O588" s="6" t="s">
        <v>608</v>
      </c>
      <c r="P588" s="222" t="s">
        <v>3894</v>
      </c>
      <c r="Q588" s="190" t="n">
        <f aca="false">Alloc_In!C14</f>
        <v>0.75</v>
      </c>
      <c r="R588" s="175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3839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1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5439</v>
      </c>
      <c r="B589" s="222" t="s">
        <v>5405</v>
      </c>
      <c r="C589" s="28" t="s">
        <v>5406</v>
      </c>
      <c r="D589" s="28" t="s">
        <v>4922</v>
      </c>
      <c r="E589" s="6" t="s">
        <v>2157</v>
      </c>
      <c r="F589" s="28" t="s">
        <v>94</v>
      </c>
      <c r="G589" s="222" t="s">
        <v>4910</v>
      </c>
      <c r="H589" s="28" t="s">
        <v>608</v>
      </c>
      <c r="I589" s="6" t="s">
        <v>608</v>
      </c>
      <c r="J589" s="28" t="s">
        <v>608</v>
      </c>
      <c r="K589" s="222"/>
      <c r="L589" s="222"/>
      <c r="M589" s="28" t="s">
        <v>4923</v>
      </c>
      <c r="N589" s="6" t="s">
        <v>5440</v>
      </c>
      <c r="O589" s="6" t="s">
        <v>608</v>
      </c>
      <c r="P589" s="28" t="s">
        <v>608</v>
      </c>
      <c r="Q589" s="175" t="s">
        <v>608</v>
      </c>
      <c r="R589" s="28" t="s">
        <v>608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28" t="s">
        <v>608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1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5441</v>
      </c>
      <c r="B590" s="222" t="s">
        <v>5405</v>
      </c>
      <c r="C590" s="28" t="s">
        <v>5406</v>
      </c>
      <c r="D590" s="28" t="s">
        <v>4350</v>
      </c>
      <c r="E590" s="19" t="s">
        <v>5442</v>
      </c>
      <c r="F590" s="28" t="s">
        <v>94</v>
      </c>
      <c r="G590" s="222" t="s">
        <v>79</v>
      </c>
      <c r="H590" s="28" t="s">
        <v>5443</v>
      </c>
      <c r="I590" s="19" t="s">
        <v>5444</v>
      </c>
      <c r="J590" s="28" t="s">
        <v>608</v>
      </c>
      <c r="K590" s="46" t="n">
        <f aca="false">Alloc_In!D15</f>
        <v>2000</v>
      </c>
      <c r="L590" s="46" t="n">
        <f aca="false">Alloc_In!E15</f>
        <v>11000</v>
      </c>
      <c r="M590" s="28" t="s">
        <v>5445</v>
      </c>
      <c r="N590" s="6" t="s">
        <v>5446</v>
      </c>
      <c r="O590" s="6" t="s">
        <v>608</v>
      </c>
      <c r="P590" s="222" t="s">
        <v>1138</v>
      </c>
      <c r="Q590" s="46" t="n">
        <f aca="false">Alloc_In!C15</f>
        <v>4000</v>
      </c>
      <c r="R590" s="175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3839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1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5447</v>
      </c>
      <c r="B591" s="222" t="s">
        <v>5405</v>
      </c>
      <c r="C591" s="28" t="s">
        <v>5406</v>
      </c>
      <c r="D591" s="28" t="s">
        <v>4928</v>
      </c>
      <c r="E591" s="19" t="s">
        <v>5442</v>
      </c>
      <c r="F591" s="28" t="s">
        <v>94</v>
      </c>
      <c r="G591" s="222" t="s">
        <v>4910</v>
      </c>
      <c r="H591" s="28" t="s">
        <v>608</v>
      </c>
      <c r="I591" s="6" t="s">
        <v>608</v>
      </c>
      <c r="J591" s="28" t="s">
        <v>608</v>
      </c>
      <c r="K591" s="222"/>
      <c r="L591" s="222"/>
      <c r="M591" s="28" t="s">
        <v>4929</v>
      </c>
      <c r="N591" s="6" t="s">
        <v>5448</v>
      </c>
      <c r="O591" s="6" t="s">
        <v>608</v>
      </c>
      <c r="P591" s="28" t="s">
        <v>608</v>
      </c>
      <c r="Q591" s="175" t="s">
        <v>608</v>
      </c>
      <c r="R591" s="28" t="s">
        <v>608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28" t="s">
        <v>608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1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5449</v>
      </c>
      <c r="B592" s="222" t="s">
        <v>5405</v>
      </c>
      <c r="C592" s="28" t="s">
        <v>5406</v>
      </c>
      <c r="D592" s="28" t="s">
        <v>4355</v>
      </c>
      <c r="E592" s="6" t="s">
        <v>2161</v>
      </c>
      <c r="F592" s="28" t="s">
        <v>94</v>
      </c>
      <c r="G592" s="222" t="s">
        <v>79</v>
      </c>
      <c r="H592" s="28" t="s">
        <v>2986</v>
      </c>
      <c r="I592" s="19" t="s">
        <v>5450</v>
      </c>
      <c r="J592" s="28" t="s">
        <v>608</v>
      </c>
      <c r="K592" s="185" t="n">
        <f aca="false">Alloc_In!D16</f>
        <v>0.4</v>
      </c>
      <c r="L592" s="185" t="n">
        <f aca="false">Alloc_In!E16</f>
        <v>0.8</v>
      </c>
      <c r="M592" s="28" t="s">
        <v>608</v>
      </c>
      <c r="N592" s="19" t="s">
        <v>5451</v>
      </c>
      <c r="O592" s="6" t="s">
        <v>608</v>
      </c>
      <c r="P592" s="222" t="s">
        <v>1137</v>
      </c>
      <c r="Q592" s="185" t="n">
        <f aca="false">Alloc_In!C16</f>
        <v>0.6</v>
      </c>
      <c r="R592" s="175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3839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1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5452</v>
      </c>
      <c r="B593" s="222" t="s">
        <v>5405</v>
      </c>
      <c r="C593" s="28" t="s">
        <v>5406</v>
      </c>
      <c r="D593" s="28" t="s">
        <v>5453</v>
      </c>
      <c r="E593" s="6" t="s">
        <v>2161</v>
      </c>
      <c r="F593" s="28" t="s">
        <v>94</v>
      </c>
      <c r="G593" s="222" t="s">
        <v>4910</v>
      </c>
      <c r="H593" s="28" t="s">
        <v>608</v>
      </c>
      <c r="I593" s="6" t="s">
        <v>608</v>
      </c>
      <c r="J593" s="28" t="s">
        <v>608</v>
      </c>
      <c r="K593" s="222"/>
      <c r="L593" s="222"/>
      <c r="M593" s="28" t="s">
        <v>5454</v>
      </c>
      <c r="N593" s="19" t="s">
        <v>5455</v>
      </c>
      <c r="O593" s="6" t="s">
        <v>608</v>
      </c>
      <c r="P593" s="28" t="s">
        <v>608</v>
      </c>
      <c r="Q593" s="175" t="s">
        <v>608</v>
      </c>
      <c r="R593" s="28" t="s">
        <v>608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28" t="s">
        <v>608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1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5456</v>
      </c>
      <c r="B594" s="222" t="s">
        <v>5405</v>
      </c>
      <c r="C594" s="28" t="s">
        <v>5406</v>
      </c>
      <c r="D594" s="28" t="s">
        <v>5457</v>
      </c>
      <c r="E594" s="19" t="s">
        <v>5458</v>
      </c>
      <c r="F594" s="28" t="s">
        <v>94</v>
      </c>
      <c r="G594" s="222" t="s">
        <v>4589</v>
      </c>
      <c r="H594" s="28" t="s">
        <v>608</v>
      </c>
      <c r="I594" s="6" t="s">
        <v>608</v>
      </c>
      <c r="J594" s="28" t="s">
        <v>608</v>
      </c>
      <c r="K594" s="222"/>
      <c r="L594" s="222"/>
      <c r="M594" s="222" t="s">
        <v>5459</v>
      </c>
      <c r="N594" s="6" t="s">
        <v>5460</v>
      </c>
      <c r="O594" s="6" t="s">
        <v>608</v>
      </c>
      <c r="P594" s="28" t="s">
        <v>608</v>
      </c>
      <c r="Q594" s="175" t="s">
        <v>608</v>
      </c>
      <c r="R594" s="28" t="s">
        <v>608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28" t="s">
        <v>608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1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5461</v>
      </c>
      <c r="B595" s="222" t="s">
        <v>5405</v>
      </c>
      <c r="C595" s="28" t="s">
        <v>5406</v>
      </c>
      <c r="D595" s="28" t="s">
        <v>5462</v>
      </c>
      <c r="E595" s="19" t="s">
        <v>5458</v>
      </c>
      <c r="F595" s="28" t="s">
        <v>94</v>
      </c>
      <c r="G595" s="222" t="s">
        <v>4910</v>
      </c>
      <c r="H595" s="28" t="s">
        <v>608</v>
      </c>
      <c r="I595" s="6" t="s">
        <v>608</v>
      </c>
      <c r="J595" s="28" t="s">
        <v>608</v>
      </c>
      <c r="K595" s="222"/>
      <c r="L595" s="222"/>
      <c r="M595" s="28" t="s">
        <v>5463</v>
      </c>
      <c r="N595" s="6" t="s">
        <v>5464</v>
      </c>
      <c r="O595" s="6" t="s">
        <v>608</v>
      </c>
      <c r="P595" s="28" t="s">
        <v>608</v>
      </c>
      <c r="Q595" s="175" t="s">
        <v>608</v>
      </c>
      <c r="R595" s="28" t="s">
        <v>608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28" t="s">
        <v>608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1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5465</v>
      </c>
      <c r="B596" s="222" t="s">
        <v>5466</v>
      </c>
      <c r="C596" s="28" t="s">
        <v>4431</v>
      </c>
      <c r="D596" s="28" t="s">
        <v>4191</v>
      </c>
      <c r="E596" s="19" t="s">
        <v>5467</v>
      </c>
      <c r="F596" s="222" t="s">
        <v>369</v>
      </c>
      <c r="G596" s="222" t="s">
        <v>3835</v>
      </c>
      <c r="H596" s="28" t="s">
        <v>608</v>
      </c>
      <c r="I596" s="6" t="s">
        <v>608</v>
      </c>
      <c r="J596" s="28" t="s">
        <v>3753</v>
      </c>
      <c r="K596" s="224" t="n">
        <v>0.7</v>
      </c>
      <c r="L596" s="224" t="n">
        <v>1</v>
      </c>
      <c r="M596" s="222" t="s">
        <v>5468</v>
      </c>
      <c r="N596" s="6" t="s">
        <v>5469</v>
      </c>
      <c r="O596" s="6" t="s">
        <v>608</v>
      </c>
      <c r="P596" s="222" t="s">
        <v>1138</v>
      </c>
      <c r="Q596" s="183" t="n">
        <f aca="false">Serving!C28</f>
        <v>0.85</v>
      </c>
      <c r="R596" s="28" t="s">
        <v>608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3839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1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5470</v>
      </c>
      <c r="B597" s="222" t="s">
        <v>5471</v>
      </c>
      <c r="C597" s="28" t="s">
        <v>4904</v>
      </c>
      <c r="D597" s="28" t="s">
        <v>5472</v>
      </c>
      <c r="E597" s="19" t="s">
        <v>5473</v>
      </c>
      <c r="F597" s="222" t="s">
        <v>369</v>
      </c>
      <c r="G597" s="222" t="s">
        <v>3835</v>
      </c>
      <c r="H597" s="28" t="s">
        <v>608</v>
      </c>
      <c r="I597" s="6" t="s">
        <v>608</v>
      </c>
      <c r="J597" s="28" t="s">
        <v>3757</v>
      </c>
      <c r="K597" s="224" t="n">
        <v>0.3</v>
      </c>
      <c r="L597" s="224" t="n">
        <v>1</v>
      </c>
      <c r="M597" s="222" t="s">
        <v>5474</v>
      </c>
      <c r="N597" s="6" t="s">
        <v>5475</v>
      </c>
      <c r="O597" s="6" t="s">
        <v>608</v>
      </c>
      <c r="P597" s="222" t="s">
        <v>1138</v>
      </c>
      <c r="Q597" s="183" t="n">
        <f aca="false">Cap_In!C63</f>
        <v>1</v>
      </c>
      <c r="R597" s="28" t="s">
        <v>608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3839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1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5476</v>
      </c>
      <c r="B598" s="222" t="s">
        <v>5471</v>
      </c>
      <c r="C598" s="28" t="s">
        <v>4904</v>
      </c>
      <c r="D598" s="28" t="s">
        <v>5477</v>
      </c>
      <c r="E598" s="19" t="s">
        <v>5478</v>
      </c>
      <c r="F598" s="222" t="s">
        <v>369</v>
      </c>
      <c r="G598" s="222" t="s">
        <v>3835</v>
      </c>
      <c r="H598" s="28" t="s">
        <v>608</v>
      </c>
      <c r="I598" s="6" t="s">
        <v>608</v>
      </c>
      <c r="J598" s="28" t="s">
        <v>3757</v>
      </c>
      <c r="K598" s="224" t="n">
        <v>0.3</v>
      </c>
      <c r="L598" s="224" t="n">
        <v>1</v>
      </c>
      <c r="M598" s="222" t="s">
        <v>5474</v>
      </c>
      <c r="N598" s="6" t="s">
        <v>5479</v>
      </c>
      <c r="O598" s="6" t="s">
        <v>608</v>
      </c>
      <c r="P598" s="222" t="s">
        <v>1138</v>
      </c>
      <c r="Q598" s="183" t="n">
        <f aca="false">Cap_In!C64</f>
        <v>1</v>
      </c>
      <c r="R598" s="28" t="s">
        <v>608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3839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1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5480</v>
      </c>
      <c r="B599" s="222" t="s">
        <v>5481</v>
      </c>
      <c r="C599" s="28" t="s">
        <v>4582</v>
      </c>
      <c r="D599" s="28" t="s">
        <v>5482</v>
      </c>
      <c r="E599" s="19" t="s">
        <v>5483</v>
      </c>
      <c r="F599" s="28" t="s">
        <v>141</v>
      </c>
      <c r="G599" s="222" t="s">
        <v>3835</v>
      </c>
      <c r="H599" s="28" t="s">
        <v>5484</v>
      </c>
      <c r="I599" s="19" t="s">
        <v>5485</v>
      </c>
      <c r="J599" s="28" t="s">
        <v>5486</v>
      </c>
      <c r="K599" s="224" t="n">
        <v>0.7</v>
      </c>
      <c r="L599" s="224" t="n">
        <v>1</v>
      </c>
      <c r="M599" s="222" t="s">
        <v>5487</v>
      </c>
      <c r="N599" s="6" t="s">
        <v>5488</v>
      </c>
      <c r="O599" s="6" t="s">
        <v>608</v>
      </c>
      <c r="P599" s="222" t="s">
        <v>3894</v>
      </c>
      <c r="Q599" s="183" t="n">
        <f aca="false">Calib!F156</f>
        <v>0.75</v>
      </c>
      <c r="R599" s="175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3839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1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5489</v>
      </c>
      <c r="B600" s="196" t="s">
        <v>5490</v>
      </c>
      <c r="C600" s="28" t="s">
        <v>5406</v>
      </c>
      <c r="D600" s="28" t="s">
        <v>4112</v>
      </c>
      <c r="E600" s="226" t="s">
        <v>5491</v>
      </c>
      <c r="F600" s="28" t="s">
        <v>94</v>
      </c>
      <c r="G600" s="196" t="s">
        <v>79</v>
      </c>
      <c r="H600" s="28" t="s">
        <v>608</v>
      </c>
      <c r="I600" s="6" t="s">
        <v>608</v>
      </c>
      <c r="J600" s="28" t="s">
        <v>5492</v>
      </c>
      <c r="K600" s="183" t="n">
        <f aca="false">Alloc_In!D23</f>
        <v>1</v>
      </c>
      <c r="L600" s="183" t="n">
        <f aca="false">Alloc_In!E23</f>
        <v>1.6</v>
      </c>
      <c r="M600" s="28" t="s">
        <v>5493</v>
      </c>
      <c r="N600" s="6" t="s">
        <v>5494</v>
      </c>
      <c r="O600" s="6" t="s">
        <v>608</v>
      </c>
      <c r="P600" s="196" t="s">
        <v>3894</v>
      </c>
      <c r="Q600" s="183" t="n">
        <f aca="false">Alloc_In!C23</f>
        <v>1.3</v>
      </c>
      <c r="R600" s="28" t="s">
        <v>608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3839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1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5495</v>
      </c>
      <c r="B601" s="196" t="s">
        <v>5490</v>
      </c>
      <c r="C601" s="28" t="s">
        <v>5406</v>
      </c>
      <c r="D601" s="28" t="s">
        <v>5496</v>
      </c>
      <c r="E601" s="226" t="s">
        <v>5491</v>
      </c>
      <c r="F601" s="28" t="s">
        <v>94</v>
      </c>
      <c r="G601" s="196" t="s">
        <v>4910</v>
      </c>
      <c r="H601" s="28" t="s">
        <v>608</v>
      </c>
      <c r="I601" s="6" t="s">
        <v>608</v>
      </c>
      <c r="J601" s="28" t="s">
        <v>5492</v>
      </c>
      <c r="K601" s="196"/>
      <c r="L601" s="196"/>
      <c r="M601" s="28" t="s">
        <v>5497</v>
      </c>
      <c r="N601" s="6" t="s">
        <v>5498</v>
      </c>
      <c r="O601" s="6" t="s">
        <v>608</v>
      </c>
      <c r="P601" s="28" t="s">
        <v>608</v>
      </c>
      <c r="Q601" s="175" t="s">
        <v>608</v>
      </c>
      <c r="R601" s="28" t="s">
        <v>608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28" t="s">
        <v>608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1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5499</v>
      </c>
      <c r="B602" s="196" t="s">
        <v>5490</v>
      </c>
      <c r="C602" s="28" t="s">
        <v>5406</v>
      </c>
      <c r="D602" s="28" t="s">
        <v>4129</v>
      </c>
      <c r="E602" s="226" t="s">
        <v>5500</v>
      </c>
      <c r="F602" s="28" t="s">
        <v>94</v>
      </c>
      <c r="G602" s="196" t="s">
        <v>79</v>
      </c>
      <c r="H602" s="28" t="s">
        <v>608</v>
      </c>
      <c r="I602" s="6" t="s">
        <v>608</v>
      </c>
      <c r="J602" s="28" t="s">
        <v>5492</v>
      </c>
      <c r="K602" s="183" t="n">
        <f aca="false">Alloc_In!D24</f>
        <v>0.3</v>
      </c>
      <c r="L602" s="183" t="n">
        <f aca="false">Alloc_In!E24</f>
        <v>0.4</v>
      </c>
      <c r="M602" s="28" t="s">
        <v>5501</v>
      </c>
      <c r="N602" s="6" t="s">
        <v>5502</v>
      </c>
      <c r="O602" s="6" t="s">
        <v>608</v>
      </c>
      <c r="P602" s="196" t="s">
        <v>3894</v>
      </c>
      <c r="Q602" s="183" t="n">
        <f aca="false">Alloc_In!C24</f>
        <v>0.35</v>
      </c>
      <c r="R602" s="28" t="s">
        <v>608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3839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1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5503</v>
      </c>
      <c r="B603" s="196" t="s">
        <v>5490</v>
      </c>
      <c r="C603" s="28" t="s">
        <v>5406</v>
      </c>
      <c r="D603" s="28" t="s">
        <v>5504</v>
      </c>
      <c r="E603" s="226" t="s">
        <v>5500</v>
      </c>
      <c r="F603" s="28" t="s">
        <v>94</v>
      </c>
      <c r="G603" s="196" t="s">
        <v>4910</v>
      </c>
      <c r="H603" s="28" t="s">
        <v>608</v>
      </c>
      <c r="I603" s="6" t="s">
        <v>608</v>
      </c>
      <c r="J603" s="28" t="s">
        <v>5492</v>
      </c>
      <c r="K603" s="196"/>
      <c r="L603" s="196"/>
      <c r="M603" s="28" t="s">
        <v>5505</v>
      </c>
      <c r="N603" s="6" t="s">
        <v>5506</v>
      </c>
      <c r="O603" s="6" t="s">
        <v>608</v>
      </c>
      <c r="P603" s="28" t="s">
        <v>608</v>
      </c>
      <c r="Q603" s="175" t="s">
        <v>608</v>
      </c>
      <c r="R603" s="28" t="s">
        <v>608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28" t="s">
        <v>608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1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5507</v>
      </c>
      <c r="B604" s="196" t="s">
        <v>5490</v>
      </c>
      <c r="C604" s="28" t="s">
        <v>5406</v>
      </c>
      <c r="D604" s="28" t="s">
        <v>4144</v>
      </c>
      <c r="E604" s="226" t="s">
        <v>5508</v>
      </c>
      <c r="F604" s="28" t="s">
        <v>86</v>
      </c>
      <c r="G604" s="196" t="s">
        <v>3835</v>
      </c>
      <c r="H604" s="28" t="s">
        <v>608</v>
      </c>
      <c r="I604" s="6" t="s">
        <v>608</v>
      </c>
      <c r="J604" s="28" t="s">
        <v>5492</v>
      </c>
      <c r="K604" s="196"/>
      <c r="L604" s="196"/>
      <c r="M604" s="196" t="s">
        <v>5509</v>
      </c>
      <c r="N604" s="6" t="s">
        <v>5510</v>
      </c>
      <c r="O604" s="6" t="s">
        <v>608</v>
      </c>
      <c r="P604" s="196" t="s">
        <v>3838</v>
      </c>
      <c r="Q604" s="46" t="n">
        <f aca="false">Alloc_In!C25</f>
        <v>2000</v>
      </c>
      <c r="R604" s="28" t="s">
        <v>608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3839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1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5511</v>
      </c>
      <c r="B605" s="196" t="s">
        <v>5512</v>
      </c>
      <c r="C605" s="28" t="s">
        <v>3834</v>
      </c>
      <c r="D605" s="28" t="s">
        <v>5396</v>
      </c>
      <c r="E605" s="6" t="s">
        <v>157</v>
      </c>
      <c r="F605" s="196" t="s">
        <v>319</v>
      </c>
      <c r="G605" s="196" t="s">
        <v>3835</v>
      </c>
      <c r="H605" s="28" t="s">
        <v>5513</v>
      </c>
      <c r="I605" s="226" t="s">
        <v>3870</v>
      </c>
      <c r="J605" s="28" t="s">
        <v>5514</v>
      </c>
      <c r="K605" s="196"/>
      <c r="L605" s="196"/>
      <c r="M605" s="196" t="s">
        <v>5515</v>
      </c>
      <c r="N605" s="226" t="s">
        <v>5516</v>
      </c>
      <c r="O605" s="6" t="s">
        <v>608</v>
      </c>
      <c r="P605" s="196" t="s">
        <v>1137</v>
      </c>
      <c r="Q605" s="31" t="n">
        <f aca="false">Inputs!E36</f>
        <v>3</v>
      </c>
      <c r="R605" s="175" t="n">
        <f aca="false">SRC_DC_015</f>
        <v>3</v>
      </c>
      <c r="S605" s="41" t="str">
        <f aca="false">IF(ISNUMBER($AF605),INDEX(IDX_SrcStat,$AF605),"—")</f>
        <v>Active</v>
      </c>
      <c r="T605" s="41" t="n">
        <f aca="false">IF(ISNUMBER($AF605),INDEX(IDX_SrcGrade,$AF605),"—")</f>
        <v>1</v>
      </c>
      <c r="U605" s="41" t="s">
        <v>3872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1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1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5517</v>
      </c>
      <c r="B606" s="196" t="s">
        <v>5512</v>
      </c>
      <c r="C606" s="28" t="s">
        <v>3834</v>
      </c>
      <c r="D606" s="28" t="s">
        <v>5400</v>
      </c>
      <c r="E606" s="6" t="s">
        <v>159</v>
      </c>
      <c r="F606" s="28" t="s">
        <v>98</v>
      </c>
      <c r="G606" s="196" t="s">
        <v>79</v>
      </c>
      <c r="H606" s="28" t="s">
        <v>5513</v>
      </c>
      <c r="I606" s="226" t="s">
        <v>5518</v>
      </c>
      <c r="J606" s="28" t="s">
        <v>3928</v>
      </c>
      <c r="K606" s="230" t="n">
        <f aca="false">Inputs!$D$37</f>
        <v>0.0025</v>
      </c>
      <c r="L606" s="230" t="n">
        <f aca="false">Inputs!$F$37</f>
        <v>0.01</v>
      </c>
      <c r="M606" s="28" t="s">
        <v>5519</v>
      </c>
      <c r="N606" s="6" t="s">
        <v>160</v>
      </c>
      <c r="O606" s="6" t="s">
        <v>608</v>
      </c>
      <c r="P606" s="196" t="s">
        <v>1137</v>
      </c>
      <c r="Q606" s="230" t="n">
        <f aca="false">Inputs!E37</f>
        <v>0.005</v>
      </c>
      <c r="R606" s="175" t="n">
        <f aca="false">SRC_DC_015</f>
        <v>3</v>
      </c>
      <c r="S606" s="41" t="str">
        <f aca="false">IF(ISNUMBER($AF606),INDEX(IDX_SrcStat,$AF606),"—")</f>
        <v>Active</v>
      </c>
      <c r="T606" s="41" t="n">
        <f aca="false">IF(ISNUMBER($AF606),INDEX(IDX_SrcGrade,$AF606),"—")</f>
        <v>1</v>
      </c>
      <c r="U606" s="41" t="s">
        <v>3839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1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1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5520</v>
      </c>
      <c r="B607" s="196" t="s">
        <v>5512</v>
      </c>
      <c r="C607" s="28" t="s">
        <v>3834</v>
      </c>
      <c r="D607" s="28" t="s">
        <v>5521</v>
      </c>
      <c r="E607" s="6" t="s">
        <v>159</v>
      </c>
      <c r="F607" s="28" t="s">
        <v>98</v>
      </c>
      <c r="G607" s="196" t="s">
        <v>1137</v>
      </c>
      <c r="H607" s="28" t="s">
        <v>5513</v>
      </c>
      <c r="I607" s="226" t="s">
        <v>5518</v>
      </c>
      <c r="J607" s="28" t="s">
        <v>3928</v>
      </c>
      <c r="K607" s="196"/>
      <c r="L607" s="196"/>
      <c r="M607" s="28" t="s">
        <v>5522</v>
      </c>
      <c r="N607" s="6" t="s">
        <v>160</v>
      </c>
      <c r="O607" s="6" t="s">
        <v>608</v>
      </c>
      <c r="P607" s="196" t="s">
        <v>1137</v>
      </c>
      <c r="Q607" s="230" t="n">
        <f aca="false">Inputs!D37</f>
        <v>0.0025</v>
      </c>
      <c r="R607" s="175" t="n">
        <f aca="false">SRC_DC_015</f>
        <v>3</v>
      </c>
      <c r="S607" s="41" t="str">
        <f aca="false">IF(ISNUMBER($AF607),INDEX(IDX_SrcStat,$AF607),"—")</f>
        <v>Active</v>
      </c>
      <c r="T607" s="41" t="n">
        <f aca="false">IF(ISNUMBER($AF607),INDEX(IDX_SrcGrade,$AF607),"—")</f>
        <v>1</v>
      </c>
      <c r="U607" s="41" t="s">
        <v>3839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1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1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5523</v>
      </c>
      <c r="B608" s="196" t="s">
        <v>5512</v>
      </c>
      <c r="C608" s="28" t="s">
        <v>3834</v>
      </c>
      <c r="D608" s="28" t="s">
        <v>5524</v>
      </c>
      <c r="E608" s="6" t="s">
        <v>159</v>
      </c>
      <c r="F608" s="28" t="s">
        <v>98</v>
      </c>
      <c r="G608" s="196" t="s">
        <v>1138</v>
      </c>
      <c r="H608" s="28" t="s">
        <v>5513</v>
      </c>
      <c r="I608" s="226" t="s">
        <v>5518</v>
      </c>
      <c r="J608" s="28" t="s">
        <v>3928</v>
      </c>
      <c r="K608" s="196"/>
      <c r="L608" s="196"/>
      <c r="M608" s="28" t="s">
        <v>5525</v>
      </c>
      <c r="N608" s="6" t="s">
        <v>160</v>
      </c>
      <c r="O608" s="6" t="s">
        <v>608</v>
      </c>
      <c r="P608" s="196" t="s">
        <v>1137</v>
      </c>
      <c r="Q608" s="230" t="n">
        <f aca="false">Inputs!F37</f>
        <v>0.01</v>
      </c>
      <c r="R608" s="175" t="n">
        <f aca="false">SRC_DC_015</f>
        <v>3</v>
      </c>
      <c r="S608" s="41" t="str">
        <f aca="false">IF(ISNUMBER($AF608),INDEX(IDX_SrcStat,$AF608),"—")</f>
        <v>Active</v>
      </c>
      <c r="T608" s="41" t="n">
        <f aca="false">IF(ISNUMBER($AF608),INDEX(IDX_SrcGrade,$AF608),"—")</f>
        <v>1</v>
      </c>
      <c r="U608" s="41" t="s">
        <v>3839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1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1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5526</v>
      </c>
      <c r="B609" s="196" t="s">
        <v>5512</v>
      </c>
      <c r="C609" s="28" t="s">
        <v>3834</v>
      </c>
      <c r="D609" s="28" t="s">
        <v>5527</v>
      </c>
      <c r="E609" s="6" t="s">
        <v>161</v>
      </c>
      <c r="F609" s="28" t="s">
        <v>98</v>
      </c>
      <c r="G609" s="196" t="s">
        <v>79</v>
      </c>
      <c r="H609" s="28" t="s">
        <v>5528</v>
      </c>
      <c r="I609" s="226" t="s">
        <v>5529</v>
      </c>
      <c r="J609" s="28" t="s">
        <v>3928</v>
      </c>
      <c r="K609" s="230" t="n">
        <f aca="false">Inputs!$D$38</f>
        <v>0.02</v>
      </c>
      <c r="L609" s="230" t="n">
        <f aca="false">Inputs!$F$38</f>
        <v>0.05</v>
      </c>
      <c r="M609" s="28" t="s">
        <v>5530</v>
      </c>
      <c r="N609" s="6" t="s">
        <v>162</v>
      </c>
      <c r="O609" s="6" t="s">
        <v>608</v>
      </c>
      <c r="P609" s="196" t="s">
        <v>1137</v>
      </c>
      <c r="Q609" s="230" t="n">
        <f aca="false">Inputs!E38</f>
        <v>0.03</v>
      </c>
      <c r="R609" s="175" t="n">
        <f aca="false">SRC_DC_017</f>
        <v>0.038</v>
      </c>
      <c r="S609" s="41" t="str">
        <f aca="false">IF(ISNUMBER($AF609),INDEX(IDX_SrcStat,$AF609),"—")</f>
        <v>Active</v>
      </c>
      <c r="T609" s="41" t="n">
        <f aca="false">IF(ISNUMBER($AF609),INDEX(IDX_SrcGrade,$AF609),"—")</f>
        <v>2</v>
      </c>
      <c r="U609" s="41" t="s">
        <v>3839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1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1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5531</v>
      </c>
      <c r="B610" s="196" t="s">
        <v>5512</v>
      </c>
      <c r="C610" s="28" t="s">
        <v>3834</v>
      </c>
      <c r="D610" s="28" t="s">
        <v>5532</v>
      </c>
      <c r="E610" s="6" t="s">
        <v>161</v>
      </c>
      <c r="F610" s="28" t="s">
        <v>98</v>
      </c>
      <c r="G610" s="196" t="s">
        <v>1137</v>
      </c>
      <c r="H610" s="28" t="s">
        <v>5528</v>
      </c>
      <c r="I610" s="226" t="s">
        <v>5529</v>
      </c>
      <c r="J610" s="28" t="s">
        <v>3928</v>
      </c>
      <c r="K610" s="196"/>
      <c r="L610" s="196"/>
      <c r="M610" s="28" t="s">
        <v>5533</v>
      </c>
      <c r="N610" s="6" t="s">
        <v>162</v>
      </c>
      <c r="O610" s="6" t="s">
        <v>608</v>
      </c>
      <c r="P610" s="196" t="s">
        <v>1137</v>
      </c>
      <c r="Q610" s="230" t="n">
        <f aca="false">Inputs!D38</f>
        <v>0.02</v>
      </c>
      <c r="R610" s="175" t="n">
        <f aca="false">SRC_DC_017</f>
        <v>0.038</v>
      </c>
      <c r="S610" s="41" t="str">
        <f aca="false">IF(ISNUMBER($AF610),INDEX(IDX_SrcStat,$AF610),"—")</f>
        <v>Active</v>
      </c>
      <c r="T610" s="41" t="n">
        <f aca="false">IF(ISNUMBER($AF610),INDEX(IDX_SrcGrade,$AF610),"—")</f>
        <v>2</v>
      </c>
      <c r="U610" s="41" t="s">
        <v>3839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1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1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5534</v>
      </c>
      <c r="B611" s="196" t="s">
        <v>5512</v>
      </c>
      <c r="C611" s="28" t="s">
        <v>3834</v>
      </c>
      <c r="D611" s="28" t="s">
        <v>5535</v>
      </c>
      <c r="E611" s="6" t="s">
        <v>161</v>
      </c>
      <c r="F611" s="28" t="s">
        <v>98</v>
      </c>
      <c r="G611" s="196" t="s">
        <v>1138</v>
      </c>
      <c r="H611" s="28" t="s">
        <v>5528</v>
      </c>
      <c r="I611" s="226" t="s">
        <v>5529</v>
      </c>
      <c r="J611" s="28" t="s">
        <v>3928</v>
      </c>
      <c r="K611" s="196"/>
      <c r="L611" s="196"/>
      <c r="M611" s="28" t="s">
        <v>5536</v>
      </c>
      <c r="N611" s="6" t="s">
        <v>162</v>
      </c>
      <c r="O611" s="6" t="s">
        <v>608</v>
      </c>
      <c r="P611" s="196" t="s">
        <v>1137</v>
      </c>
      <c r="Q611" s="230" t="n">
        <f aca="false">Inputs!F38</f>
        <v>0.05</v>
      </c>
      <c r="R611" s="175" t="n">
        <f aca="false">SRC_DC_017</f>
        <v>0.038</v>
      </c>
      <c r="S611" s="41" t="str">
        <f aca="false">IF(ISNUMBER($AF611),INDEX(IDX_SrcStat,$AF611),"—")</f>
        <v>Active</v>
      </c>
      <c r="T611" s="41" t="n">
        <f aca="false">IF(ISNUMBER($AF611),INDEX(IDX_SrcGrade,$AF611),"—")</f>
        <v>2</v>
      </c>
      <c r="U611" s="41" t="s">
        <v>3839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1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1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5537</v>
      </c>
      <c r="B612" s="196" t="s">
        <v>5538</v>
      </c>
      <c r="C612" s="28" t="s">
        <v>4904</v>
      </c>
      <c r="D612" s="28" t="s">
        <v>5539</v>
      </c>
      <c r="E612" s="226" t="s">
        <v>5540</v>
      </c>
      <c r="F612" s="28" t="s">
        <v>94</v>
      </c>
      <c r="G612" s="196" t="s">
        <v>1138</v>
      </c>
      <c r="H612" s="28" t="s">
        <v>5541</v>
      </c>
      <c r="I612" s="226" t="s">
        <v>5542</v>
      </c>
      <c r="J612" s="28" t="s">
        <v>5543</v>
      </c>
      <c r="K612" s="196"/>
      <c r="L612" s="196"/>
      <c r="M612" s="28" t="s">
        <v>5544</v>
      </c>
      <c r="N612" s="6" t="s">
        <v>5545</v>
      </c>
      <c r="O612" s="6" t="s">
        <v>608</v>
      </c>
      <c r="P612" s="196" t="s">
        <v>3838</v>
      </c>
      <c r="Q612" s="187" t="n">
        <f aca="false">Cap_In!E70</f>
        <v>0.82</v>
      </c>
      <c r="R612" s="175" t="n">
        <f aca="false">SRC_DEM_039</f>
        <v>0.7</v>
      </c>
      <c r="S612" s="41" t="str">
        <f aca="false">IF(ISNUMBER($AF612),INDEX(IDX_SrcStat,$AF612),"—")</f>
        <v>Active</v>
      </c>
      <c r="T612" s="41" t="n">
        <f aca="false">IF(ISNUMBER($AF612),INDEX(IDX_SrcGrade,$AF612),"—")</f>
        <v>2</v>
      </c>
      <c r="U612" s="41" t="s">
        <v>3839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1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1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5546</v>
      </c>
      <c r="B613" s="196" t="s">
        <v>5538</v>
      </c>
      <c r="C613" s="28" t="s">
        <v>4904</v>
      </c>
      <c r="D613" s="28" t="s">
        <v>4702</v>
      </c>
      <c r="E613" s="226" t="s">
        <v>1322</v>
      </c>
      <c r="F613" s="28" t="s">
        <v>94</v>
      </c>
      <c r="G613" s="196" t="s">
        <v>3835</v>
      </c>
      <c r="H613" s="28" t="s">
        <v>608</v>
      </c>
      <c r="I613" s="6" t="s">
        <v>608</v>
      </c>
      <c r="J613" s="28" t="s">
        <v>5543</v>
      </c>
      <c r="K613" s="196"/>
      <c r="L613" s="196"/>
      <c r="M613" s="196" t="s">
        <v>5547</v>
      </c>
      <c r="N613" s="6" t="s">
        <v>5548</v>
      </c>
      <c r="O613" s="6" t="s">
        <v>608</v>
      </c>
      <c r="P613" s="196" t="s">
        <v>3838</v>
      </c>
      <c r="Q613" s="31" t="n">
        <f aca="false">Cap_In!C100</f>
        <v>21</v>
      </c>
      <c r="R613" s="28" t="s">
        <v>608</v>
      </c>
      <c r="S613" s="41" t="str">
        <f aca="false">IF(ISNUMBER($AF613),INDEX(IDX_SrcStat,$AF613),"—")</f>
        <v>—</v>
      </c>
      <c r="T613" s="41" t="str">
        <f aca="false">IF(ISNUMBER($AF613),INDEX(IDX_SrcGrade,$AF613),"—")</f>
        <v>—</v>
      </c>
      <c r="U613" s="41" t="s">
        <v>3839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1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1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5549</v>
      </c>
      <c r="B614" s="196" t="s">
        <v>5538</v>
      </c>
      <c r="C614" s="28" t="s">
        <v>4904</v>
      </c>
      <c r="D614" s="28" t="s">
        <v>4708</v>
      </c>
      <c r="E614" s="226" t="s">
        <v>5550</v>
      </c>
      <c r="F614" s="28" t="s">
        <v>94</v>
      </c>
      <c r="G614" s="196" t="s">
        <v>3835</v>
      </c>
      <c r="H614" s="28" t="s">
        <v>608</v>
      </c>
      <c r="I614" s="6" t="s">
        <v>608</v>
      </c>
      <c r="J614" s="28" t="s">
        <v>5543</v>
      </c>
      <c r="K614" s="196"/>
      <c r="L614" s="196"/>
      <c r="M614" s="196" t="s">
        <v>5551</v>
      </c>
      <c r="N614" s="6" t="s">
        <v>5552</v>
      </c>
      <c r="O614" s="6" t="s">
        <v>608</v>
      </c>
      <c r="P614" s="196" t="s">
        <v>3838</v>
      </c>
      <c r="Q614" s="46" t="n">
        <f aca="false">Cap_In!C102</f>
        <v>200</v>
      </c>
      <c r="R614" s="28" t="s">
        <v>608</v>
      </c>
      <c r="S614" s="41" t="str">
        <f aca="false">IF(ISNUMBER($AF614),INDEX(IDX_SrcStat,$AF614),"—")</f>
        <v>—</v>
      </c>
      <c r="T614" s="41" t="str">
        <f aca="false">IF(ISNUMBER($AF614),INDEX(IDX_SrcGrade,$AF614),"—")</f>
        <v>—</v>
      </c>
      <c r="U614" s="41" t="s">
        <v>3839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1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1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5553</v>
      </c>
      <c r="B615" s="196" t="s">
        <v>5538</v>
      </c>
      <c r="C615" s="28" t="s">
        <v>4904</v>
      </c>
      <c r="D615" s="28" t="s">
        <v>4714</v>
      </c>
      <c r="E615" s="226" t="s">
        <v>5554</v>
      </c>
      <c r="F615" s="28" t="s">
        <v>94</v>
      </c>
      <c r="G615" s="196" t="s">
        <v>3835</v>
      </c>
      <c r="H615" s="28" t="s">
        <v>608</v>
      </c>
      <c r="I615" s="6" t="s">
        <v>608</v>
      </c>
      <c r="J615" s="28" t="s">
        <v>5543</v>
      </c>
      <c r="K615" s="196"/>
      <c r="L615" s="196"/>
      <c r="M615" s="196" t="s">
        <v>5555</v>
      </c>
      <c r="N615" s="6" t="s">
        <v>5556</v>
      </c>
      <c r="O615" s="6" t="s">
        <v>608</v>
      </c>
      <c r="P615" s="196" t="s">
        <v>3838</v>
      </c>
      <c r="Q615" s="187" t="n">
        <f aca="false">Cap_In!C104</f>
        <v>0.995</v>
      </c>
      <c r="R615" s="28" t="s">
        <v>608</v>
      </c>
      <c r="S615" s="41" t="str">
        <f aca="false">IF(ISNUMBER($AF615),INDEX(IDX_SrcStat,$AF615),"—")</f>
        <v>—</v>
      </c>
      <c r="T615" s="41" t="str">
        <f aca="false">IF(ISNUMBER($AF615),INDEX(IDX_SrcGrade,$AF615),"—")</f>
        <v>—</v>
      </c>
      <c r="U615" s="41" t="s">
        <v>3839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1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1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5557</v>
      </c>
      <c r="B616" s="196" t="s">
        <v>5558</v>
      </c>
      <c r="C616" s="28" t="s">
        <v>4904</v>
      </c>
      <c r="D616" s="28" t="s">
        <v>5559</v>
      </c>
      <c r="E616" s="226" t="s">
        <v>5560</v>
      </c>
      <c r="F616" s="28" t="s">
        <v>94</v>
      </c>
      <c r="G616" s="196" t="s">
        <v>79</v>
      </c>
      <c r="H616" s="28" t="s">
        <v>5561</v>
      </c>
      <c r="I616" s="226" t="s">
        <v>5562</v>
      </c>
      <c r="J616" s="28" t="s">
        <v>5563</v>
      </c>
      <c r="K616" s="187" t="n">
        <f aca="false">Cap_In!E127</f>
        <v>0.05</v>
      </c>
      <c r="L616" s="187" t="n">
        <f aca="false">Cap_In!D127</f>
        <v>0.2</v>
      </c>
      <c r="M616" s="28" t="s">
        <v>5564</v>
      </c>
      <c r="N616" s="6" t="s">
        <v>5565</v>
      </c>
      <c r="O616" s="6" t="s">
        <v>608</v>
      </c>
      <c r="P616" s="196" t="s">
        <v>3838</v>
      </c>
      <c r="Q616" s="187" t="n">
        <f aca="false">Cap_In!C127</f>
        <v>0.1</v>
      </c>
      <c r="R616" s="175" t="n">
        <f aca="false">SRC_DEM_051</f>
        <v>0.07</v>
      </c>
      <c r="S616" s="41" t="str">
        <f aca="false">IF(ISNUMBER($AF616),INDEX(IDX_SrcStat,$AF616),"—")</f>
        <v>Active</v>
      </c>
      <c r="T616" s="41" t="n">
        <f aca="false">IF(ISNUMBER($AF616),INDEX(IDX_SrcGrade,$AF616),"—")</f>
        <v>1</v>
      </c>
      <c r="U616" s="41" t="s">
        <v>3839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1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1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5566</v>
      </c>
      <c r="B617" s="196" t="s">
        <v>5558</v>
      </c>
      <c r="C617" s="28" t="s">
        <v>4904</v>
      </c>
      <c r="D617" s="28" t="s">
        <v>5567</v>
      </c>
      <c r="E617" s="226" t="s">
        <v>5560</v>
      </c>
      <c r="F617" s="28" t="s">
        <v>94</v>
      </c>
      <c r="G617" s="196" t="s">
        <v>4910</v>
      </c>
      <c r="H617" s="28" t="s">
        <v>608</v>
      </c>
      <c r="I617" s="6" t="s">
        <v>608</v>
      </c>
      <c r="J617" s="28" t="s">
        <v>5563</v>
      </c>
      <c r="K617" s="196"/>
      <c r="L617" s="196"/>
      <c r="M617" s="28" t="s">
        <v>5568</v>
      </c>
      <c r="N617" s="6" t="s">
        <v>5565</v>
      </c>
      <c r="O617" s="6" t="s">
        <v>608</v>
      </c>
      <c r="P617" s="196" t="s">
        <v>3838</v>
      </c>
      <c r="Q617" s="175" t="s">
        <v>608</v>
      </c>
      <c r="R617" s="28" t="s">
        <v>608</v>
      </c>
      <c r="S617" s="41" t="str">
        <f aca="false">IF(ISNUMBER($AF617),INDEX(IDX_SrcStat,$AF617),"—")</f>
        <v>—</v>
      </c>
      <c r="T617" s="41" t="str">
        <f aca="false">IF(ISNUMBER($AF617),INDEX(IDX_SrcGrade,$AF617),"—")</f>
        <v>—</v>
      </c>
      <c r="U617" s="28" t="s">
        <v>608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1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1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5569</v>
      </c>
      <c r="B618" s="196" t="s">
        <v>5570</v>
      </c>
      <c r="C618" s="28" t="s">
        <v>4904</v>
      </c>
      <c r="D618" s="28" t="s">
        <v>5571</v>
      </c>
      <c r="E618" s="6" t="s">
        <v>1383</v>
      </c>
      <c r="F618" s="28" t="s">
        <v>94</v>
      </c>
      <c r="G618" s="196" t="s">
        <v>79</v>
      </c>
      <c r="H618" s="28" t="s">
        <v>5572</v>
      </c>
      <c r="I618" s="226" t="s">
        <v>5573</v>
      </c>
      <c r="J618" s="28" t="s">
        <v>5574</v>
      </c>
      <c r="K618" s="187" t="n">
        <f aca="false">Cap_In!D131</f>
        <v>0.05</v>
      </c>
      <c r="L618" s="187" t="n">
        <f aca="false">Cap_In!E131</f>
        <v>0.15</v>
      </c>
      <c r="M618" s="28" t="s">
        <v>5575</v>
      </c>
      <c r="N618" s="6" t="s">
        <v>5576</v>
      </c>
      <c r="O618" s="6" t="s">
        <v>608</v>
      </c>
      <c r="P618" s="196" t="s">
        <v>3838</v>
      </c>
      <c r="Q618" s="187" t="n">
        <f aca="false">Cap_In!C131</f>
        <v>0.1</v>
      </c>
      <c r="R618" s="175" t="n">
        <f aca="false">SRC_DEM_071</f>
        <v>0.2</v>
      </c>
      <c r="S618" s="41" t="str">
        <f aca="false">IF(ISNUMBER($AF618),INDEX(IDX_SrcStat,$AF618),"—")</f>
        <v>Active</v>
      </c>
      <c r="T618" s="41" t="n">
        <f aca="false">IF(ISNUMBER($AF618),INDEX(IDX_SrcGrade,$AF618),"—")</f>
        <v>3</v>
      </c>
      <c r="U618" s="41" t="s">
        <v>3839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1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1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5577</v>
      </c>
      <c r="B619" s="196" t="s">
        <v>5570</v>
      </c>
      <c r="C619" s="28" t="s">
        <v>4904</v>
      </c>
      <c r="D619" s="28" t="s">
        <v>5578</v>
      </c>
      <c r="E619" s="6" t="s">
        <v>1383</v>
      </c>
      <c r="F619" s="28" t="s">
        <v>94</v>
      </c>
      <c r="G619" s="196" t="s">
        <v>4910</v>
      </c>
      <c r="H619" s="28" t="s">
        <v>608</v>
      </c>
      <c r="I619" s="6" t="s">
        <v>608</v>
      </c>
      <c r="J619" s="28" t="s">
        <v>5574</v>
      </c>
      <c r="K619" s="196"/>
      <c r="L619" s="196"/>
      <c r="M619" s="28" t="s">
        <v>5579</v>
      </c>
      <c r="N619" s="6" t="s">
        <v>5576</v>
      </c>
      <c r="O619" s="6" t="s">
        <v>608</v>
      </c>
      <c r="P619" s="196" t="s">
        <v>3838</v>
      </c>
      <c r="Q619" s="175" t="s">
        <v>608</v>
      </c>
      <c r="R619" s="28" t="s">
        <v>608</v>
      </c>
      <c r="S619" s="41" t="str">
        <f aca="false">IF(ISNUMBER($AF619),INDEX(IDX_SrcStat,$AF619),"—")</f>
        <v>—</v>
      </c>
      <c r="T619" s="41" t="str">
        <f aca="false">IF(ISNUMBER($AF619),INDEX(IDX_SrcGrade,$AF619),"—")</f>
        <v>—</v>
      </c>
      <c r="U619" s="28" t="s">
        <v>608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1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1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5580</v>
      </c>
      <c r="B620" s="196" t="s">
        <v>5570</v>
      </c>
      <c r="C620" s="28" t="s">
        <v>4904</v>
      </c>
      <c r="D620" s="28" t="s">
        <v>5581</v>
      </c>
      <c r="E620" s="226" t="s">
        <v>5582</v>
      </c>
      <c r="F620" s="28" t="s">
        <v>94</v>
      </c>
      <c r="G620" s="196" t="s">
        <v>79</v>
      </c>
      <c r="H620" s="28" t="s">
        <v>608</v>
      </c>
      <c r="I620" s="6" t="s">
        <v>608</v>
      </c>
      <c r="J620" s="28" t="s">
        <v>5583</v>
      </c>
      <c r="K620" s="187" t="n">
        <f aca="false">Cap_In!E132</f>
        <v>0.6</v>
      </c>
      <c r="L620" s="187" t="n">
        <f aca="false">Cap_In!D132</f>
        <v>0.9</v>
      </c>
      <c r="M620" s="28" t="s">
        <v>5584</v>
      </c>
      <c r="N620" s="6" t="s">
        <v>5585</v>
      </c>
      <c r="O620" s="6" t="s">
        <v>608</v>
      </c>
      <c r="P620" s="196" t="s">
        <v>3838</v>
      </c>
      <c r="Q620" s="187" t="n">
        <f aca="false">Cap_In!C132</f>
        <v>0.75</v>
      </c>
      <c r="R620" s="28" t="s">
        <v>608</v>
      </c>
      <c r="S620" s="41" t="str">
        <f aca="false">IF(ISNUMBER($AF620),INDEX(IDX_SrcStat,$AF620),"—")</f>
        <v>—</v>
      </c>
      <c r="T620" s="41" t="str">
        <f aca="false">IF(ISNUMBER($AF620),INDEX(IDX_SrcGrade,$AF620),"—")</f>
        <v>—</v>
      </c>
      <c r="U620" s="41" t="s">
        <v>3839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1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1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5586</v>
      </c>
      <c r="B621" s="196" t="s">
        <v>5570</v>
      </c>
      <c r="C621" s="28" t="s">
        <v>4904</v>
      </c>
      <c r="D621" s="28" t="s">
        <v>5587</v>
      </c>
      <c r="E621" s="226" t="s">
        <v>5582</v>
      </c>
      <c r="F621" s="28" t="s">
        <v>94</v>
      </c>
      <c r="G621" s="196" t="s">
        <v>4910</v>
      </c>
      <c r="H621" s="28" t="s">
        <v>608</v>
      </c>
      <c r="I621" s="6" t="s">
        <v>608</v>
      </c>
      <c r="J621" s="28" t="s">
        <v>5583</v>
      </c>
      <c r="K621" s="196"/>
      <c r="L621" s="196"/>
      <c r="M621" s="28" t="s">
        <v>5588</v>
      </c>
      <c r="N621" s="6" t="s">
        <v>5585</v>
      </c>
      <c r="O621" s="6" t="s">
        <v>608</v>
      </c>
      <c r="P621" s="196" t="s">
        <v>3838</v>
      </c>
      <c r="Q621" s="175" t="s">
        <v>608</v>
      </c>
      <c r="R621" s="28" t="s">
        <v>608</v>
      </c>
      <c r="S621" s="41" t="str">
        <f aca="false">IF(ISNUMBER($AF621),INDEX(IDX_SrcStat,$AF621),"—")</f>
        <v>—</v>
      </c>
      <c r="T621" s="41" t="str">
        <f aca="false">IF(ISNUMBER($AF621),INDEX(IDX_SrcGrade,$AF621),"—")</f>
        <v>—</v>
      </c>
      <c r="U621" s="28" t="s">
        <v>608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1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1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5589</v>
      </c>
      <c r="B622" s="196" t="s">
        <v>5570</v>
      </c>
      <c r="C622" s="28" t="s">
        <v>4904</v>
      </c>
      <c r="D622" s="28" t="s">
        <v>5590</v>
      </c>
      <c r="E622" s="6" t="s">
        <v>1387</v>
      </c>
      <c r="F622" s="28" t="s">
        <v>94</v>
      </c>
      <c r="G622" s="196" t="s">
        <v>79</v>
      </c>
      <c r="H622" s="28" t="s">
        <v>608</v>
      </c>
      <c r="I622" s="6" t="s">
        <v>608</v>
      </c>
      <c r="J622" s="28" t="s">
        <v>5574</v>
      </c>
      <c r="K622" s="43" t="n">
        <f aca="false">Cap_In!D133</f>
        <v>0</v>
      </c>
      <c r="L622" s="43" t="n">
        <f aca="false">Cap_In!E133</f>
        <v>1</v>
      </c>
      <c r="M622" s="28" t="s">
        <v>5591</v>
      </c>
      <c r="N622" s="6" t="s">
        <v>5592</v>
      </c>
      <c r="O622" s="6" t="s">
        <v>608</v>
      </c>
      <c r="P622" s="196" t="s">
        <v>3838</v>
      </c>
      <c r="Q622" s="43" t="n">
        <f aca="false">Cap_In!C133</f>
        <v>0.5</v>
      </c>
      <c r="R622" s="28" t="s">
        <v>608</v>
      </c>
      <c r="S622" s="41" t="str">
        <f aca="false">IF(ISNUMBER($AF622),INDEX(IDX_SrcStat,$AF622),"—")</f>
        <v>—</v>
      </c>
      <c r="T622" s="41" t="str">
        <f aca="false">IF(ISNUMBER($AF622),INDEX(IDX_SrcGrade,$AF622),"—")</f>
        <v>—</v>
      </c>
      <c r="U622" s="41" t="s">
        <v>3839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1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1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5593</v>
      </c>
      <c r="B623" s="196" t="s">
        <v>5570</v>
      </c>
      <c r="C623" s="28" t="s">
        <v>4904</v>
      </c>
      <c r="D623" s="28" t="s">
        <v>5594</v>
      </c>
      <c r="E623" s="6" t="s">
        <v>1387</v>
      </c>
      <c r="F623" s="28" t="s">
        <v>94</v>
      </c>
      <c r="G623" s="196" t="s">
        <v>4910</v>
      </c>
      <c r="H623" s="28" t="s">
        <v>608</v>
      </c>
      <c r="I623" s="6" t="s">
        <v>608</v>
      </c>
      <c r="J623" s="28" t="s">
        <v>5574</v>
      </c>
      <c r="K623" s="196"/>
      <c r="L623" s="196"/>
      <c r="M623" s="28" t="s">
        <v>5595</v>
      </c>
      <c r="N623" s="6" t="s">
        <v>5592</v>
      </c>
      <c r="O623" s="6" t="s">
        <v>608</v>
      </c>
      <c r="P623" s="196" t="s">
        <v>3838</v>
      </c>
      <c r="Q623" s="175" t="s">
        <v>608</v>
      </c>
      <c r="R623" s="28" t="s">
        <v>608</v>
      </c>
      <c r="S623" s="41" t="str">
        <f aca="false">IF(ISNUMBER($AF623),INDEX(IDX_SrcStat,$AF623),"—")</f>
        <v>—</v>
      </c>
      <c r="T623" s="41" t="str">
        <f aca="false">IF(ISNUMBER($AF623),INDEX(IDX_SrcGrade,$AF623),"—")</f>
        <v>—</v>
      </c>
      <c r="U623" s="28" t="s">
        <v>608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1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1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5596</v>
      </c>
      <c r="B624" s="196" t="s">
        <v>5570</v>
      </c>
      <c r="C624" s="28" t="s">
        <v>4904</v>
      </c>
      <c r="D624" s="28" t="s">
        <v>5597</v>
      </c>
      <c r="E624" s="226" t="s">
        <v>5598</v>
      </c>
      <c r="F624" s="28" t="s">
        <v>94</v>
      </c>
      <c r="G624" s="196" t="s">
        <v>3835</v>
      </c>
      <c r="H624" s="28" t="s">
        <v>608</v>
      </c>
      <c r="I624" s="6" t="s">
        <v>608</v>
      </c>
      <c r="J624" s="28" t="s">
        <v>5599</v>
      </c>
      <c r="K624" s="196"/>
      <c r="L624" s="196"/>
      <c r="M624" s="196" t="s">
        <v>5600</v>
      </c>
      <c r="N624" s="6" t="s">
        <v>5601</v>
      </c>
      <c r="O624" s="6" t="s">
        <v>608</v>
      </c>
      <c r="P624" s="196" t="s">
        <v>3838</v>
      </c>
      <c r="Q624" s="46" t="n">
        <f aca="false">Cap_In!C154</f>
        <v>20</v>
      </c>
      <c r="R624" s="28" t="s">
        <v>608</v>
      </c>
      <c r="S624" s="41" t="str">
        <f aca="false">IF(ISNUMBER($AF624),INDEX(IDX_SrcStat,$AF624),"—")</f>
        <v>—</v>
      </c>
      <c r="T624" s="41" t="str">
        <f aca="false">IF(ISNUMBER($AF624),INDEX(IDX_SrcGrade,$AF624),"—")</f>
        <v>—</v>
      </c>
      <c r="U624" s="41" t="s">
        <v>3839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1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1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5602</v>
      </c>
      <c r="B625" s="196" t="s">
        <v>5570</v>
      </c>
      <c r="C625" s="28" t="s">
        <v>4904</v>
      </c>
      <c r="D625" s="28" t="s">
        <v>5603</v>
      </c>
      <c r="E625" s="226" t="s">
        <v>5604</v>
      </c>
      <c r="F625" s="28" t="s">
        <v>94</v>
      </c>
      <c r="G625" s="196" t="s">
        <v>3835</v>
      </c>
      <c r="H625" s="28" t="s">
        <v>608</v>
      </c>
      <c r="I625" s="6" t="s">
        <v>608</v>
      </c>
      <c r="J625" s="28" t="s">
        <v>5599</v>
      </c>
      <c r="K625" s="196"/>
      <c r="L625" s="196"/>
      <c r="M625" s="196" t="s">
        <v>5605</v>
      </c>
      <c r="N625" s="6" t="s">
        <v>5601</v>
      </c>
      <c r="O625" s="6" t="s">
        <v>608</v>
      </c>
      <c r="P625" s="196" t="s">
        <v>3838</v>
      </c>
      <c r="Q625" s="46" t="n">
        <f aca="false">Cap_In!C155</f>
        <v>700</v>
      </c>
      <c r="R625" s="28" t="s">
        <v>608</v>
      </c>
      <c r="S625" s="41" t="str">
        <f aca="false">IF(ISNUMBER($AF625),INDEX(IDX_SrcStat,$AF625),"—")</f>
        <v>—</v>
      </c>
      <c r="T625" s="41" t="str">
        <f aca="false">IF(ISNUMBER($AF625),INDEX(IDX_SrcGrade,$AF625),"—")</f>
        <v>—</v>
      </c>
      <c r="U625" s="41" t="s">
        <v>3839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1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1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5606</v>
      </c>
      <c r="B626" s="196" t="s">
        <v>5570</v>
      </c>
      <c r="C626" s="28" t="s">
        <v>4904</v>
      </c>
      <c r="D626" s="28" t="s">
        <v>5607</v>
      </c>
      <c r="E626" s="226" t="s">
        <v>5608</v>
      </c>
      <c r="F626" s="28" t="s">
        <v>94</v>
      </c>
      <c r="G626" s="196" t="s">
        <v>3835</v>
      </c>
      <c r="H626" s="28" t="s">
        <v>608</v>
      </c>
      <c r="I626" s="6" t="s">
        <v>608</v>
      </c>
      <c r="J626" s="28" t="s">
        <v>5599</v>
      </c>
      <c r="K626" s="196"/>
      <c r="L626" s="196"/>
      <c r="M626" s="196" t="s">
        <v>5609</v>
      </c>
      <c r="N626" s="6" t="s">
        <v>5601</v>
      </c>
      <c r="O626" s="6" t="s">
        <v>608</v>
      </c>
      <c r="P626" s="196" t="s">
        <v>3838</v>
      </c>
      <c r="Q626" s="46" t="n">
        <f aca="false">Cap_In!C156</f>
        <v>200</v>
      </c>
      <c r="R626" s="28" t="s">
        <v>608</v>
      </c>
      <c r="S626" s="41" t="str">
        <f aca="false">IF(ISNUMBER($AF626),INDEX(IDX_SrcStat,$AF626),"—")</f>
        <v>—</v>
      </c>
      <c r="T626" s="41" t="str">
        <f aca="false">IF(ISNUMBER($AF626),INDEX(IDX_SrcGrade,$AF626),"—")</f>
        <v>—</v>
      </c>
      <c r="U626" s="41" t="s">
        <v>3839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1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1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5610</v>
      </c>
      <c r="B627" s="196" t="s">
        <v>5570</v>
      </c>
      <c r="C627" s="28" t="s">
        <v>4904</v>
      </c>
      <c r="D627" s="28" t="s">
        <v>5611</v>
      </c>
      <c r="E627" s="226" t="s">
        <v>5612</v>
      </c>
      <c r="F627" s="28" t="s">
        <v>94</v>
      </c>
      <c r="G627" s="196" t="s">
        <v>3835</v>
      </c>
      <c r="H627" s="28" t="s">
        <v>608</v>
      </c>
      <c r="I627" s="6" t="s">
        <v>608</v>
      </c>
      <c r="J627" s="28" t="s">
        <v>5599</v>
      </c>
      <c r="K627" s="196"/>
      <c r="L627" s="196"/>
      <c r="M627" s="196" t="s">
        <v>5613</v>
      </c>
      <c r="N627" s="6" t="s">
        <v>5601</v>
      </c>
      <c r="O627" s="6" t="s">
        <v>608</v>
      </c>
      <c r="P627" s="196" t="s">
        <v>3838</v>
      </c>
      <c r="Q627" s="46" t="n">
        <f aca="false">Cap_In!C157</f>
        <v>14000</v>
      </c>
      <c r="R627" s="28" t="s">
        <v>608</v>
      </c>
      <c r="S627" s="41" t="str">
        <f aca="false">IF(ISNUMBER($AF627),INDEX(IDX_SrcStat,$AF627),"—")</f>
        <v>—</v>
      </c>
      <c r="T627" s="41" t="str">
        <f aca="false">IF(ISNUMBER($AF627),INDEX(IDX_SrcGrade,$AF627),"—")</f>
        <v>—</v>
      </c>
      <c r="U627" s="41" t="s">
        <v>3839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1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1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5614</v>
      </c>
      <c r="B628" s="196" t="s">
        <v>5570</v>
      </c>
      <c r="C628" s="28" t="s">
        <v>4904</v>
      </c>
      <c r="D628" s="28" t="s">
        <v>5615</v>
      </c>
      <c r="E628" s="226" t="s">
        <v>5616</v>
      </c>
      <c r="F628" s="28" t="s">
        <v>94</v>
      </c>
      <c r="G628" s="196" t="s">
        <v>3835</v>
      </c>
      <c r="H628" s="28" t="s">
        <v>5617</v>
      </c>
      <c r="I628" s="226" t="s">
        <v>5618</v>
      </c>
      <c r="J628" s="28" t="s">
        <v>5574</v>
      </c>
      <c r="K628" s="196"/>
      <c r="L628" s="196"/>
      <c r="M628" s="196" t="s">
        <v>5619</v>
      </c>
      <c r="N628" s="6" t="s">
        <v>5620</v>
      </c>
      <c r="O628" s="6" t="s">
        <v>608</v>
      </c>
      <c r="P628" s="196" t="s">
        <v>3838</v>
      </c>
      <c r="Q628" s="43" t="n">
        <f aca="false">Cap_In!F185</f>
        <v>36</v>
      </c>
      <c r="R628" s="175" t="n">
        <f aca="false">SRC_DEM_042</f>
        <v>6.7</v>
      </c>
      <c r="S628" s="41" t="str">
        <f aca="false">IF(ISNUMBER($AF628),INDEX(IDX_SrcStat,$AF628),"—")</f>
        <v>Active</v>
      </c>
      <c r="T628" s="41" t="n">
        <f aca="false">IF(ISNUMBER($AF628),INDEX(IDX_SrcGrade,$AF628),"—")</f>
        <v>2</v>
      </c>
      <c r="U628" s="41" t="s">
        <v>3839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1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1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5621</v>
      </c>
      <c r="B629" s="196" t="s">
        <v>5570</v>
      </c>
      <c r="C629" s="28" t="s">
        <v>4904</v>
      </c>
      <c r="D629" s="28" t="s">
        <v>5622</v>
      </c>
      <c r="E629" s="226" t="s">
        <v>5623</v>
      </c>
      <c r="F629" s="28" t="s">
        <v>94</v>
      </c>
      <c r="G629" s="196" t="s">
        <v>3835</v>
      </c>
      <c r="H629" s="28" t="s">
        <v>5624</v>
      </c>
      <c r="I629" s="226" t="s">
        <v>5625</v>
      </c>
      <c r="J629" s="28" t="s">
        <v>5574</v>
      </c>
      <c r="K629" s="196"/>
      <c r="L629" s="196"/>
      <c r="M629" s="196" t="s">
        <v>5626</v>
      </c>
      <c r="N629" s="6" t="s">
        <v>5627</v>
      </c>
      <c r="O629" s="6" t="s">
        <v>608</v>
      </c>
      <c r="P629" s="196" t="s">
        <v>3838</v>
      </c>
      <c r="Q629" s="175" t="s">
        <v>608</v>
      </c>
      <c r="R629" s="175" t="n">
        <f aca="false">SRC_DEM_023</f>
        <v>0.4</v>
      </c>
      <c r="S629" s="41" t="str">
        <f aca="false">IF(ISNUMBER($AF629),INDEX(IDX_SrcStat,$AF629),"—")</f>
        <v>Active</v>
      </c>
      <c r="T629" s="41" t="n">
        <f aca="false">IF(ISNUMBER($AF629),INDEX(IDX_SrcGrade,$AF629),"—")</f>
        <v>1</v>
      </c>
      <c r="U629" s="28" t="s">
        <v>608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1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1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5628</v>
      </c>
      <c r="B630" s="196" t="s">
        <v>5570</v>
      </c>
      <c r="C630" s="28" t="s">
        <v>4904</v>
      </c>
      <c r="D630" s="28" t="s">
        <v>5629</v>
      </c>
      <c r="E630" s="226" t="s">
        <v>5630</v>
      </c>
      <c r="F630" s="28" t="s">
        <v>94</v>
      </c>
      <c r="G630" s="196" t="s">
        <v>3835</v>
      </c>
      <c r="H630" s="28" t="s">
        <v>5572</v>
      </c>
      <c r="I630" s="226" t="s">
        <v>5631</v>
      </c>
      <c r="J630" s="28" t="s">
        <v>5574</v>
      </c>
      <c r="K630" s="196"/>
      <c r="L630" s="196"/>
      <c r="M630" s="196" t="s">
        <v>5632</v>
      </c>
      <c r="N630" s="6" t="s">
        <v>5633</v>
      </c>
      <c r="O630" s="6" t="s">
        <v>608</v>
      </c>
      <c r="P630" s="196" t="s">
        <v>3838</v>
      </c>
      <c r="Q630" s="175" t="s">
        <v>608</v>
      </c>
      <c r="R630" s="175" t="n">
        <f aca="false">SRC_DEM_071</f>
        <v>0.2</v>
      </c>
      <c r="S630" s="41" t="str">
        <f aca="false">IF(ISNUMBER($AF630),INDEX(IDX_SrcStat,$AF630),"—")</f>
        <v>Active</v>
      </c>
      <c r="T630" s="41" t="n">
        <f aca="false">IF(ISNUMBER($AF630),INDEX(IDX_SrcGrade,$AF630),"—")</f>
        <v>3</v>
      </c>
      <c r="U630" s="28" t="s">
        <v>608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1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1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5634</v>
      </c>
      <c r="B631" s="196" t="s">
        <v>5570</v>
      </c>
      <c r="C631" s="28" t="s">
        <v>4904</v>
      </c>
      <c r="D631" s="28" t="s">
        <v>5635</v>
      </c>
      <c r="E631" s="6" t="s">
        <v>1503</v>
      </c>
      <c r="F631" s="28" t="s">
        <v>94</v>
      </c>
      <c r="G631" s="196" t="s">
        <v>3835</v>
      </c>
      <c r="H631" s="28" t="s">
        <v>5636</v>
      </c>
      <c r="I631" s="226" t="s">
        <v>5637</v>
      </c>
      <c r="J631" s="28" t="s">
        <v>5574</v>
      </c>
      <c r="K631" s="196"/>
      <c r="L631" s="196"/>
      <c r="M631" s="196" t="s">
        <v>5638</v>
      </c>
      <c r="N631" s="6" t="s">
        <v>5639</v>
      </c>
      <c r="O631" s="6" t="s">
        <v>608</v>
      </c>
      <c r="P631" s="196" t="s">
        <v>3838</v>
      </c>
      <c r="Q631" s="205" t="n">
        <f aca="false">Cap_In!F195</f>
        <v>1.3</v>
      </c>
      <c r="R631" s="175" t="n">
        <f aca="false">SRC_DEM_011</f>
        <v>15</v>
      </c>
      <c r="S631" s="41" t="str">
        <f aca="false">IF(ISNUMBER($AF631),INDEX(IDX_SrcStat,$AF631),"—")</f>
        <v>Active</v>
      </c>
      <c r="T631" s="41" t="n">
        <f aca="false">IF(ISNUMBER($AF631),INDEX(IDX_SrcGrade,$AF631),"—")</f>
        <v>1</v>
      </c>
      <c r="U631" s="41" t="s">
        <v>3839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1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1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5640</v>
      </c>
      <c r="B632" s="196" t="s">
        <v>5570</v>
      </c>
      <c r="C632" s="28" t="s">
        <v>4904</v>
      </c>
      <c r="D632" s="28" t="s">
        <v>5641</v>
      </c>
      <c r="E632" s="6" t="s">
        <v>1507</v>
      </c>
      <c r="F632" s="28" t="s">
        <v>94</v>
      </c>
      <c r="G632" s="196" t="s">
        <v>3835</v>
      </c>
      <c r="H632" s="28" t="s">
        <v>5443</v>
      </c>
      <c r="I632" s="6" t="s">
        <v>5642</v>
      </c>
      <c r="J632" s="28" t="s">
        <v>5574</v>
      </c>
      <c r="K632" s="196"/>
      <c r="L632" s="196"/>
      <c r="M632" s="196" t="s">
        <v>5643</v>
      </c>
      <c r="N632" s="6" t="s">
        <v>5644</v>
      </c>
      <c r="O632" s="6" t="s">
        <v>608</v>
      </c>
      <c r="P632" s="196" t="s">
        <v>3838</v>
      </c>
      <c r="Q632" s="175" t="s">
        <v>608</v>
      </c>
      <c r="R632" s="175" t="n">
        <f aca="false">SRC_DEM_012</f>
        <v>2.5</v>
      </c>
      <c r="S632" s="41" t="str">
        <f aca="false">IF(ISNUMBER($AF632),INDEX(IDX_SrcStat,$AF632),"—")</f>
        <v>Active</v>
      </c>
      <c r="T632" s="41" t="n">
        <f aca="false">IF(ISNUMBER($AF632),INDEX(IDX_SrcGrade,$AF632),"—")</f>
        <v>2</v>
      </c>
      <c r="U632" s="28" t="s">
        <v>608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1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1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5645</v>
      </c>
      <c r="B633" s="196" t="s">
        <v>5570</v>
      </c>
      <c r="C633" s="28" t="s">
        <v>4904</v>
      </c>
      <c r="D633" s="28" t="s">
        <v>5646</v>
      </c>
      <c r="E633" s="226" t="s">
        <v>5647</v>
      </c>
      <c r="F633" s="196" t="s">
        <v>5648</v>
      </c>
      <c r="G633" s="196" t="s">
        <v>3835</v>
      </c>
      <c r="H633" s="28" t="s">
        <v>608</v>
      </c>
      <c r="I633" s="6" t="s">
        <v>608</v>
      </c>
      <c r="J633" s="28" t="s">
        <v>5574</v>
      </c>
      <c r="K633" s="196"/>
      <c r="L633" s="196"/>
      <c r="M633" s="196" t="s">
        <v>5649</v>
      </c>
      <c r="N633" s="6" t="s">
        <v>5650</v>
      </c>
      <c r="O633" s="6" t="s">
        <v>608</v>
      </c>
      <c r="P633" s="196" t="s">
        <v>3838</v>
      </c>
      <c r="Q633" s="175" t="s">
        <v>608</v>
      </c>
      <c r="R633" s="28" t="s">
        <v>608</v>
      </c>
      <c r="S633" s="41" t="str">
        <f aca="false">IF(ISNUMBER($AF633),INDEX(IDX_SrcStat,$AF633),"—")</f>
        <v>—</v>
      </c>
      <c r="T633" s="41" t="str">
        <f aca="false">IF(ISNUMBER($AF633),INDEX(IDX_SrcGrade,$AF633),"—")</f>
        <v>—</v>
      </c>
      <c r="U633" s="28" t="s">
        <v>608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1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1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5651</v>
      </c>
      <c r="B634" s="196" t="s">
        <v>5570</v>
      </c>
      <c r="C634" s="28" t="s">
        <v>4904</v>
      </c>
      <c r="D634" s="28" t="s">
        <v>5652</v>
      </c>
      <c r="E634" s="6" t="s">
        <v>1535</v>
      </c>
      <c r="F634" s="28" t="s">
        <v>94</v>
      </c>
      <c r="G634" s="196" t="s">
        <v>3835</v>
      </c>
      <c r="H634" s="28" t="s">
        <v>608</v>
      </c>
      <c r="I634" s="6" t="s">
        <v>608</v>
      </c>
      <c r="J634" s="28" t="s">
        <v>5574</v>
      </c>
      <c r="K634" s="196"/>
      <c r="L634" s="196"/>
      <c r="M634" s="196" t="s">
        <v>5653</v>
      </c>
      <c r="N634" s="6" t="s">
        <v>5654</v>
      </c>
      <c r="O634" s="6" t="s">
        <v>608</v>
      </c>
      <c r="P634" s="196" t="s">
        <v>3838</v>
      </c>
      <c r="Q634" s="187" t="n">
        <f aca="false">Cap_In!D211</f>
        <v>0.25</v>
      </c>
      <c r="R634" s="28" t="s">
        <v>608</v>
      </c>
      <c r="S634" s="41" t="str">
        <f aca="false">IF(ISNUMBER($AF634),INDEX(IDX_SrcStat,$AF634),"—")</f>
        <v>—</v>
      </c>
      <c r="T634" s="41" t="str">
        <f aca="false">IF(ISNUMBER($AF634),INDEX(IDX_SrcGrade,$AF634),"—")</f>
        <v>—</v>
      </c>
      <c r="U634" s="41" t="s">
        <v>3839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1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1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5655</v>
      </c>
      <c r="B635" s="196" t="s">
        <v>5570</v>
      </c>
      <c r="C635" s="28" t="s">
        <v>4904</v>
      </c>
      <c r="D635" s="28" t="s">
        <v>5656</v>
      </c>
      <c r="E635" s="6" t="s">
        <v>1537</v>
      </c>
      <c r="F635" s="28" t="s">
        <v>94</v>
      </c>
      <c r="G635" s="196" t="s">
        <v>3835</v>
      </c>
      <c r="H635" s="28" t="s">
        <v>608</v>
      </c>
      <c r="I635" s="6" t="s">
        <v>608</v>
      </c>
      <c r="J635" s="28" t="s">
        <v>5574</v>
      </c>
      <c r="K635" s="196"/>
      <c r="L635" s="196"/>
      <c r="M635" s="196" t="s">
        <v>5657</v>
      </c>
      <c r="N635" s="6" t="s">
        <v>5654</v>
      </c>
      <c r="O635" s="6" t="s">
        <v>608</v>
      </c>
      <c r="P635" s="196" t="s">
        <v>3838</v>
      </c>
      <c r="Q635" s="187" t="n">
        <f aca="false">Cap_In!D212</f>
        <v>0.45</v>
      </c>
      <c r="R635" s="28" t="s">
        <v>608</v>
      </c>
      <c r="S635" s="41" t="str">
        <f aca="false">IF(ISNUMBER($AF635),INDEX(IDX_SrcStat,$AF635),"—")</f>
        <v>—</v>
      </c>
      <c r="T635" s="41" t="str">
        <f aca="false">IF(ISNUMBER($AF635),INDEX(IDX_SrcGrade,$AF635),"—")</f>
        <v>—</v>
      </c>
      <c r="U635" s="41" t="s">
        <v>3839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1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1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5658</v>
      </c>
      <c r="B636" s="196" t="s">
        <v>5570</v>
      </c>
      <c r="C636" s="28" t="s">
        <v>4904</v>
      </c>
      <c r="D636" s="28" t="s">
        <v>5659</v>
      </c>
      <c r="E636" s="6" t="s">
        <v>1539</v>
      </c>
      <c r="F636" s="28" t="s">
        <v>94</v>
      </c>
      <c r="G636" s="196" t="s">
        <v>3835</v>
      </c>
      <c r="H636" s="28" t="s">
        <v>608</v>
      </c>
      <c r="I636" s="6" t="s">
        <v>608</v>
      </c>
      <c r="J636" s="28" t="s">
        <v>5574</v>
      </c>
      <c r="K636" s="196"/>
      <c r="L636" s="196"/>
      <c r="M636" s="196" t="s">
        <v>5653</v>
      </c>
      <c r="N636" s="6" t="s">
        <v>5654</v>
      </c>
      <c r="O636" s="6" t="s">
        <v>608</v>
      </c>
      <c r="P636" s="196" t="s">
        <v>3838</v>
      </c>
      <c r="Q636" s="187" t="n">
        <f aca="false">Cap_In!D213</f>
        <v>0.25</v>
      </c>
      <c r="R636" s="28" t="s">
        <v>608</v>
      </c>
      <c r="S636" s="41" t="str">
        <f aca="false">IF(ISNUMBER($AF636),INDEX(IDX_SrcStat,$AF636),"—")</f>
        <v>—</v>
      </c>
      <c r="T636" s="41" t="str">
        <f aca="false">IF(ISNUMBER($AF636),INDEX(IDX_SrcGrade,$AF636),"—")</f>
        <v>—</v>
      </c>
      <c r="U636" s="41" t="s">
        <v>3839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1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1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5660</v>
      </c>
      <c r="B637" s="196" t="s">
        <v>5570</v>
      </c>
      <c r="C637" s="28" t="s">
        <v>4904</v>
      </c>
      <c r="D637" s="28" t="s">
        <v>5661</v>
      </c>
      <c r="E637" s="6" t="s">
        <v>1541</v>
      </c>
      <c r="F637" s="28" t="s">
        <v>94</v>
      </c>
      <c r="G637" s="196" t="s">
        <v>3835</v>
      </c>
      <c r="H637" s="28" t="s">
        <v>608</v>
      </c>
      <c r="I637" s="6" t="s">
        <v>608</v>
      </c>
      <c r="J637" s="28" t="s">
        <v>5574</v>
      </c>
      <c r="K637" s="196"/>
      <c r="L637" s="196"/>
      <c r="M637" s="196" t="s">
        <v>5662</v>
      </c>
      <c r="N637" s="6" t="s">
        <v>5654</v>
      </c>
      <c r="O637" s="6" t="s">
        <v>608</v>
      </c>
      <c r="P637" s="196" t="s">
        <v>3838</v>
      </c>
      <c r="Q637" s="187" t="n">
        <f aca="false">Cap_In!D214</f>
        <v>0.05</v>
      </c>
      <c r="R637" s="28" t="s">
        <v>608</v>
      </c>
      <c r="S637" s="41" t="str">
        <f aca="false">IF(ISNUMBER($AF637),INDEX(IDX_SrcStat,$AF637),"—")</f>
        <v>—</v>
      </c>
      <c r="T637" s="41" t="str">
        <f aca="false">IF(ISNUMBER($AF637),INDEX(IDX_SrcGrade,$AF637),"—")</f>
        <v>—</v>
      </c>
      <c r="U637" s="41" t="s">
        <v>3839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1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1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5663</v>
      </c>
      <c r="B638" s="196" t="s">
        <v>5664</v>
      </c>
      <c r="C638" s="28" t="s">
        <v>4904</v>
      </c>
      <c r="D638" s="28" t="s">
        <v>5665</v>
      </c>
      <c r="E638" s="226" t="s">
        <v>5666</v>
      </c>
      <c r="F638" s="28" t="s">
        <v>94</v>
      </c>
      <c r="G638" s="196" t="s">
        <v>79</v>
      </c>
      <c r="H638" s="28" t="s">
        <v>608</v>
      </c>
      <c r="I638" s="6" t="s">
        <v>608</v>
      </c>
      <c r="J638" s="28" t="s">
        <v>5667</v>
      </c>
      <c r="K638" s="187" t="n">
        <f aca="false">Cap_In!D226</f>
        <v>-0.25</v>
      </c>
      <c r="L638" s="187" t="n">
        <f aca="false">Cap_In!E226</f>
        <v>0.05</v>
      </c>
      <c r="M638" s="28" t="s">
        <v>5668</v>
      </c>
      <c r="N638" s="6" t="s">
        <v>5669</v>
      </c>
      <c r="O638" s="6" t="s">
        <v>608</v>
      </c>
      <c r="P638" s="196" t="s">
        <v>3838</v>
      </c>
      <c r="Q638" s="187" t="n">
        <f aca="false">Cap_In!C226</f>
        <v>-0.1</v>
      </c>
      <c r="R638" s="28" t="s">
        <v>608</v>
      </c>
      <c r="S638" s="41" t="str">
        <f aca="false">IF(ISNUMBER($AF638),INDEX(IDX_SrcStat,$AF638),"—")</f>
        <v>—</v>
      </c>
      <c r="T638" s="41" t="str">
        <f aca="false">IF(ISNUMBER($AF638),INDEX(IDX_SrcGrade,$AF638),"—")</f>
        <v>—</v>
      </c>
      <c r="U638" s="41" t="s">
        <v>3839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1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1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5670</v>
      </c>
      <c r="B639" s="196" t="s">
        <v>5664</v>
      </c>
      <c r="C639" s="28" t="s">
        <v>4904</v>
      </c>
      <c r="D639" s="28" t="s">
        <v>5671</v>
      </c>
      <c r="E639" s="226" t="s">
        <v>5666</v>
      </c>
      <c r="F639" s="28" t="s">
        <v>94</v>
      </c>
      <c r="G639" s="196" t="s">
        <v>4910</v>
      </c>
      <c r="H639" s="28" t="s">
        <v>608</v>
      </c>
      <c r="I639" s="6" t="s">
        <v>608</v>
      </c>
      <c r="J639" s="28" t="s">
        <v>5667</v>
      </c>
      <c r="K639" s="196"/>
      <c r="L639" s="196"/>
      <c r="M639" s="28" t="s">
        <v>5672</v>
      </c>
      <c r="N639" s="6" t="s">
        <v>5669</v>
      </c>
      <c r="O639" s="6" t="s">
        <v>608</v>
      </c>
      <c r="P639" s="196" t="s">
        <v>3838</v>
      </c>
      <c r="Q639" s="175" t="s">
        <v>608</v>
      </c>
      <c r="R639" s="28" t="s">
        <v>608</v>
      </c>
      <c r="S639" s="41" t="str">
        <f aca="false">IF(ISNUMBER($AF639),INDEX(IDX_SrcStat,$AF639),"—")</f>
        <v>—</v>
      </c>
      <c r="T639" s="41" t="str">
        <f aca="false">IF(ISNUMBER($AF639),INDEX(IDX_SrcGrade,$AF639),"—")</f>
        <v>—</v>
      </c>
      <c r="U639" s="28" t="s">
        <v>608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1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1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5673</v>
      </c>
      <c r="B640" s="196" t="s">
        <v>5664</v>
      </c>
      <c r="C640" s="28" t="s">
        <v>4904</v>
      </c>
      <c r="D640" s="28" t="s">
        <v>5674</v>
      </c>
      <c r="E640" s="226" t="s">
        <v>5675</v>
      </c>
      <c r="F640" s="28" t="s">
        <v>94</v>
      </c>
      <c r="G640" s="196" t="s">
        <v>79</v>
      </c>
      <c r="H640" s="28" t="s">
        <v>608</v>
      </c>
      <c r="I640" s="6" t="s">
        <v>608</v>
      </c>
      <c r="J640" s="28" t="s">
        <v>5667</v>
      </c>
      <c r="K640" s="31" t="n">
        <f aca="false">Cap_In!D227</f>
        <v>3</v>
      </c>
      <c r="L640" s="31" t="n">
        <f aca="false">Cap_In!E227</f>
        <v>5</v>
      </c>
      <c r="M640" s="28" t="s">
        <v>5676</v>
      </c>
      <c r="N640" s="6" t="s">
        <v>5677</v>
      </c>
      <c r="O640" s="6" t="s">
        <v>608</v>
      </c>
      <c r="P640" s="196" t="s">
        <v>3838</v>
      </c>
      <c r="Q640" s="31" t="n">
        <f aca="false">Cap_In!C227</f>
        <v>4</v>
      </c>
      <c r="R640" s="28" t="s">
        <v>608</v>
      </c>
      <c r="S640" s="41" t="str">
        <f aca="false">IF(ISNUMBER($AF640),INDEX(IDX_SrcStat,$AF640),"—")</f>
        <v>—</v>
      </c>
      <c r="T640" s="41" t="str">
        <f aca="false">IF(ISNUMBER($AF640),INDEX(IDX_SrcGrade,$AF640),"—")</f>
        <v>—</v>
      </c>
      <c r="U640" s="41" t="s">
        <v>3839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1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1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5678</v>
      </c>
      <c r="B641" s="196" t="s">
        <v>5664</v>
      </c>
      <c r="C641" s="28" t="s">
        <v>4904</v>
      </c>
      <c r="D641" s="28" t="s">
        <v>5679</v>
      </c>
      <c r="E641" s="226" t="s">
        <v>5675</v>
      </c>
      <c r="F641" s="28" t="s">
        <v>94</v>
      </c>
      <c r="G641" s="196" t="s">
        <v>4910</v>
      </c>
      <c r="H641" s="28" t="s">
        <v>608</v>
      </c>
      <c r="I641" s="6" t="s">
        <v>608</v>
      </c>
      <c r="J641" s="28" t="s">
        <v>5667</v>
      </c>
      <c r="K641" s="196"/>
      <c r="L641" s="196"/>
      <c r="M641" s="28" t="s">
        <v>5680</v>
      </c>
      <c r="N641" s="6" t="s">
        <v>5677</v>
      </c>
      <c r="O641" s="6" t="s">
        <v>608</v>
      </c>
      <c r="P641" s="196" t="s">
        <v>3838</v>
      </c>
      <c r="Q641" s="175" t="s">
        <v>608</v>
      </c>
      <c r="R641" s="28" t="s">
        <v>608</v>
      </c>
      <c r="S641" s="41" t="str">
        <f aca="false">IF(ISNUMBER($AF641),INDEX(IDX_SrcStat,$AF641),"—")</f>
        <v>—</v>
      </c>
      <c r="T641" s="41" t="str">
        <f aca="false">IF(ISNUMBER($AF641),INDEX(IDX_SrcGrade,$AF641),"—")</f>
        <v>—</v>
      </c>
      <c r="U641" s="28" t="s">
        <v>608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1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1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5681</v>
      </c>
      <c r="B642" s="196" t="s">
        <v>5664</v>
      </c>
      <c r="C642" s="28" t="s">
        <v>4904</v>
      </c>
      <c r="D642" s="28" t="s">
        <v>5682</v>
      </c>
      <c r="E642" s="226" t="s">
        <v>5683</v>
      </c>
      <c r="F642" s="28" t="s">
        <v>94</v>
      </c>
      <c r="G642" s="196" t="s">
        <v>79</v>
      </c>
      <c r="H642" s="28" t="s">
        <v>608</v>
      </c>
      <c r="I642" s="6" t="s">
        <v>608</v>
      </c>
      <c r="J642" s="28" t="s">
        <v>5667</v>
      </c>
      <c r="K642" s="205" t="n">
        <f aca="false">Cap_In!D228</f>
        <v>0.05</v>
      </c>
      <c r="L642" s="205" t="n">
        <f aca="false">Cap_In!E228</f>
        <v>1</v>
      </c>
      <c r="M642" s="28" t="s">
        <v>5684</v>
      </c>
      <c r="N642" s="6" t="s">
        <v>5685</v>
      </c>
      <c r="O642" s="6" t="s">
        <v>608</v>
      </c>
      <c r="P642" s="196" t="s">
        <v>3838</v>
      </c>
      <c r="Q642" s="205" t="n">
        <f aca="false">Cap_In!C228</f>
        <v>0.5</v>
      </c>
      <c r="R642" s="28" t="s">
        <v>608</v>
      </c>
      <c r="S642" s="41" t="str">
        <f aca="false">IF(ISNUMBER($AF642),INDEX(IDX_SrcStat,$AF642),"—")</f>
        <v>—</v>
      </c>
      <c r="T642" s="41" t="str">
        <f aca="false">IF(ISNUMBER($AF642),INDEX(IDX_SrcGrade,$AF642),"—")</f>
        <v>—</v>
      </c>
      <c r="U642" s="41" t="s">
        <v>3839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1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1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5686</v>
      </c>
      <c r="B643" s="196" t="s">
        <v>5664</v>
      </c>
      <c r="C643" s="28" t="s">
        <v>4904</v>
      </c>
      <c r="D643" s="28" t="s">
        <v>5687</v>
      </c>
      <c r="E643" s="226" t="s">
        <v>5683</v>
      </c>
      <c r="F643" s="28" t="s">
        <v>94</v>
      </c>
      <c r="G643" s="196" t="s">
        <v>1138</v>
      </c>
      <c r="H643" s="28" t="s">
        <v>608</v>
      </c>
      <c r="I643" s="6" t="s">
        <v>608</v>
      </c>
      <c r="J643" s="28" t="s">
        <v>5667</v>
      </c>
      <c r="K643" s="196"/>
      <c r="L643" s="196"/>
      <c r="M643" s="28" t="s">
        <v>5688</v>
      </c>
      <c r="N643" s="6" t="s">
        <v>5685</v>
      </c>
      <c r="O643" s="6" t="s">
        <v>608</v>
      </c>
      <c r="P643" s="196" t="s">
        <v>3838</v>
      </c>
      <c r="Q643" s="205" t="n">
        <f aca="false">Cap_In!E228</f>
        <v>1</v>
      </c>
      <c r="R643" s="28" t="s">
        <v>608</v>
      </c>
      <c r="S643" s="41" t="str">
        <f aca="false">IF(ISNUMBER($AF643),INDEX(IDX_SrcStat,$AF643),"—")</f>
        <v>—</v>
      </c>
      <c r="T643" s="41" t="str">
        <f aca="false">IF(ISNUMBER($AF643),INDEX(IDX_SrcGrade,$AF643),"—")</f>
        <v>—</v>
      </c>
      <c r="U643" s="41" t="s">
        <v>3839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1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1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5689</v>
      </c>
      <c r="B644" s="196" t="s">
        <v>5690</v>
      </c>
      <c r="C644" s="28" t="s">
        <v>4904</v>
      </c>
      <c r="D644" s="28" t="s">
        <v>5691</v>
      </c>
      <c r="E644" s="226" t="s">
        <v>5692</v>
      </c>
      <c r="F644" s="28" t="s">
        <v>94</v>
      </c>
      <c r="G644" s="196" t="s">
        <v>3835</v>
      </c>
      <c r="H644" s="28" t="s">
        <v>5693</v>
      </c>
      <c r="I644" s="226" t="s">
        <v>5694</v>
      </c>
      <c r="J644" s="28" t="s">
        <v>5695</v>
      </c>
      <c r="K644" s="224" t="n">
        <v>0</v>
      </c>
      <c r="L644" s="224" t="n">
        <v>0.2</v>
      </c>
      <c r="M644" s="196" t="s">
        <v>5696</v>
      </c>
      <c r="N644" s="6" t="s">
        <v>5697</v>
      </c>
      <c r="O644" s="6" t="s">
        <v>608</v>
      </c>
      <c r="P644" s="196" t="s">
        <v>3838</v>
      </c>
      <c r="Q644" s="43" t="n">
        <f aca="false">Cap_In!D186</f>
        <v>0</v>
      </c>
      <c r="R644" s="175" t="n">
        <f aca="false">SRC_DEM_072</f>
        <v>1</v>
      </c>
      <c r="S644" s="41" t="str">
        <f aca="false">IF(ISNUMBER($AF644),INDEX(IDX_SrcStat,$AF644),"—")</f>
        <v>Active</v>
      </c>
      <c r="T644" s="41" t="n">
        <f aca="false">IF(ISNUMBER($AF644),INDEX(IDX_SrcGrade,$AF644),"—")</f>
        <v>2</v>
      </c>
      <c r="U644" s="41" t="s">
        <v>3839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1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1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5698</v>
      </c>
      <c r="B645" s="196" t="s">
        <v>5690</v>
      </c>
      <c r="C645" s="28" t="s">
        <v>4904</v>
      </c>
      <c r="D645" s="28" t="s">
        <v>5699</v>
      </c>
      <c r="E645" s="226" t="s">
        <v>5692</v>
      </c>
      <c r="F645" s="28" t="s">
        <v>94</v>
      </c>
      <c r="G645" s="196" t="s">
        <v>3835</v>
      </c>
      <c r="H645" s="28" t="s">
        <v>5693</v>
      </c>
      <c r="I645" s="226" t="s">
        <v>5694</v>
      </c>
      <c r="J645" s="28" t="s">
        <v>5695</v>
      </c>
      <c r="K645" s="224" t="n">
        <v>0.3</v>
      </c>
      <c r="L645" s="224" t="n">
        <v>0.8</v>
      </c>
      <c r="M645" s="196" t="s">
        <v>5700</v>
      </c>
      <c r="N645" s="6" t="s">
        <v>5697</v>
      </c>
      <c r="O645" s="6" t="s">
        <v>608</v>
      </c>
      <c r="P645" s="196" t="s">
        <v>3838</v>
      </c>
      <c r="Q645" s="43" t="n">
        <f aca="false">Cap_In!E186</f>
        <v>0.5</v>
      </c>
      <c r="R645" s="175" t="n">
        <f aca="false">SRC_DEM_072</f>
        <v>1</v>
      </c>
      <c r="S645" s="41" t="str">
        <f aca="false">IF(ISNUMBER($AF645),INDEX(IDX_SrcStat,$AF645),"—")</f>
        <v>Active</v>
      </c>
      <c r="T645" s="41" t="n">
        <f aca="false">IF(ISNUMBER($AF645),INDEX(IDX_SrcGrade,$AF645),"—")</f>
        <v>2</v>
      </c>
      <c r="U645" s="41" t="s">
        <v>3839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1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1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5701</v>
      </c>
      <c r="B646" s="196" t="s">
        <v>5690</v>
      </c>
      <c r="C646" s="28" t="s">
        <v>4904</v>
      </c>
      <c r="D646" s="28" t="s">
        <v>5702</v>
      </c>
      <c r="E646" s="226" t="s">
        <v>5692</v>
      </c>
      <c r="F646" s="28" t="s">
        <v>94</v>
      </c>
      <c r="G646" s="196" t="s">
        <v>3835</v>
      </c>
      <c r="H646" s="28" t="s">
        <v>5693</v>
      </c>
      <c r="I646" s="226" t="s">
        <v>5694</v>
      </c>
      <c r="J646" s="28" t="s">
        <v>5695</v>
      </c>
      <c r="K646" s="224" t="n">
        <v>0.5</v>
      </c>
      <c r="L646" s="224" t="n">
        <v>1.5</v>
      </c>
      <c r="M646" s="196" t="s">
        <v>5703</v>
      </c>
      <c r="N646" s="6" t="s">
        <v>5697</v>
      </c>
      <c r="O646" s="6" t="s">
        <v>608</v>
      </c>
      <c r="P646" s="196" t="s">
        <v>3838</v>
      </c>
      <c r="Q646" s="43" t="n">
        <f aca="false">Cap_In!F186</f>
        <v>1</v>
      </c>
      <c r="R646" s="175" t="n">
        <f aca="false">SRC_DEM_072</f>
        <v>1</v>
      </c>
      <c r="S646" s="41" t="str">
        <f aca="false">IF(ISNUMBER($AF646),INDEX(IDX_SrcStat,$AF646),"—")</f>
        <v>Active</v>
      </c>
      <c r="T646" s="41" t="n">
        <f aca="false">IF(ISNUMBER($AF646),INDEX(IDX_SrcGrade,$AF646),"—")</f>
        <v>2</v>
      </c>
      <c r="U646" s="41" t="s">
        <v>3839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1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1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5704</v>
      </c>
      <c r="B647" s="196" t="s">
        <v>5690</v>
      </c>
      <c r="C647" s="28" t="s">
        <v>4904</v>
      </c>
      <c r="D647" s="28" t="s">
        <v>5705</v>
      </c>
      <c r="E647" s="6" t="s">
        <v>1515</v>
      </c>
      <c r="F647" s="28" t="s">
        <v>94</v>
      </c>
      <c r="G647" s="196" t="s">
        <v>3835</v>
      </c>
      <c r="H647" s="28" t="s">
        <v>608</v>
      </c>
      <c r="I647" s="6" t="s">
        <v>608</v>
      </c>
      <c r="J647" s="28" t="s">
        <v>5695</v>
      </c>
      <c r="K647" s="224" t="n">
        <v>0.5</v>
      </c>
      <c r="L647" s="224" t="n">
        <v>0.8</v>
      </c>
      <c r="M647" s="196" t="s">
        <v>5706</v>
      </c>
      <c r="N647" s="6" t="s">
        <v>5707</v>
      </c>
      <c r="O647" s="6" t="s">
        <v>608</v>
      </c>
      <c r="P647" s="196" t="s">
        <v>3838</v>
      </c>
      <c r="Q647" s="187" t="n">
        <f aca="false">Cap_In!D200</f>
        <v>0.65</v>
      </c>
      <c r="R647" s="28" t="s">
        <v>608</v>
      </c>
      <c r="S647" s="41" t="str">
        <f aca="false">IF(ISNUMBER($AF647),INDEX(IDX_SrcStat,$AF647),"—")</f>
        <v>—</v>
      </c>
      <c r="T647" s="41" t="str">
        <f aca="false">IF(ISNUMBER($AF647),INDEX(IDX_SrcGrade,$AF647),"—")</f>
        <v>—</v>
      </c>
      <c r="U647" s="41" t="s">
        <v>3839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1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1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5708</v>
      </c>
      <c r="B648" s="196" t="s">
        <v>5709</v>
      </c>
      <c r="C648" s="28" t="s">
        <v>5406</v>
      </c>
      <c r="D648" s="28" t="s">
        <v>4160</v>
      </c>
      <c r="E648" s="226" t="s">
        <v>5710</v>
      </c>
      <c r="F648" s="28" t="s">
        <v>141</v>
      </c>
      <c r="G648" s="196" t="s">
        <v>79</v>
      </c>
      <c r="H648" s="28" t="s">
        <v>608</v>
      </c>
      <c r="I648" s="6" t="s">
        <v>608</v>
      </c>
      <c r="J648" s="28" t="s">
        <v>5711</v>
      </c>
      <c r="K648" s="183" t="n">
        <f aca="false">Alloc_In!D26</f>
        <v>0.65</v>
      </c>
      <c r="L648" s="183" t="n">
        <f aca="false">Alloc_In!E26</f>
        <v>1.2</v>
      </c>
      <c r="M648" s="28" t="s">
        <v>5712</v>
      </c>
      <c r="N648" s="6" t="s">
        <v>5713</v>
      </c>
      <c r="O648" s="6" t="s">
        <v>608</v>
      </c>
      <c r="P648" s="196" t="s">
        <v>3894</v>
      </c>
      <c r="Q648" s="183" t="n">
        <f aca="false">Alloc_In!C26</f>
        <v>1</v>
      </c>
      <c r="R648" s="28" t="s">
        <v>608</v>
      </c>
      <c r="S648" s="41" t="str">
        <f aca="false">IF(ISNUMBER($AF648),INDEX(IDX_SrcStat,$AF648),"—")</f>
        <v>—</v>
      </c>
      <c r="T648" s="41" t="str">
        <f aca="false">IF(ISNUMBER($AF648),INDEX(IDX_SrcGrade,$AF648),"—")</f>
        <v>—</v>
      </c>
      <c r="U648" s="41" t="s">
        <v>3839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1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1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5714</v>
      </c>
      <c r="B649" s="196" t="s">
        <v>5709</v>
      </c>
      <c r="C649" s="28" t="s">
        <v>5406</v>
      </c>
      <c r="D649" s="28" t="s">
        <v>5715</v>
      </c>
      <c r="E649" s="226" t="s">
        <v>5710</v>
      </c>
      <c r="F649" s="28" t="s">
        <v>141</v>
      </c>
      <c r="G649" s="196" t="s">
        <v>4910</v>
      </c>
      <c r="H649" s="28" t="s">
        <v>608</v>
      </c>
      <c r="I649" s="6" t="s">
        <v>608</v>
      </c>
      <c r="J649" s="28" t="s">
        <v>5711</v>
      </c>
      <c r="K649" s="196"/>
      <c r="L649" s="196"/>
      <c r="M649" s="28" t="s">
        <v>5716</v>
      </c>
      <c r="N649" s="6" t="s">
        <v>5713</v>
      </c>
      <c r="O649" s="6" t="s">
        <v>608</v>
      </c>
      <c r="P649" s="28" t="s">
        <v>608</v>
      </c>
      <c r="Q649" s="175" t="s">
        <v>608</v>
      </c>
      <c r="R649" s="28" t="s">
        <v>608</v>
      </c>
      <c r="S649" s="41" t="str">
        <f aca="false">IF(ISNUMBER($AF649),INDEX(IDX_SrcStat,$AF649),"—")</f>
        <v>—</v>
      </c>
      <c r="T649" s="41" t="str">
        <f aca="false">IF(ISNUMBER($AF649),INDEX(IDX_SrcGrade,$AF649),"—")</f>
        <v>—</v>
      </c>
      <c r="U649" s="28" t="s">
        <v>608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1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1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5717</v>
      </c>
      <c r="B650" s="196" t="s">
        <v>5718</v>
      </c>
      <c r="C650" s="28" t="s">
        <v>4904</v>
      </c>
      <c r="D650" s="28" t="s">
        <v>5719</v>
      </c>
      <c r="E650" s="6" t="s">
        <v>1628</v>
      </c>
      <c r="F650" s="28" t="s">
        <v>141</v>
      </c>
      <c r="G650" s="196" t="s">
        <v>3835</v>
      </c>
      <c r="H650" s="28" t="s">
        <v>608</v>
      </c>
      <c r="I650" s="6" t="s">
        <v>608</v>
      </c>
      <c r="J650" s="28" t="s">
        <v>5711</v>
      </c>
      <c r="K650" s="224" t="n">
        <v>2.722</v>
      </c>
      <c r="L650" s="224" t="n">
        <v>2.722</v>
      </c>
      <c r="M650" s="196" t="s">
        <v>5720</v>
      </c>
      <c r="N650" s="6" t="s">
        <v>5721</v>
      </c>
      <c r="O650" s="6" t="s">
        <v>608</v>
      </c>
      <c r="P650" s="196" t="s">
        <v>3838</v>
      </c>
      <c r="Q650" s="184" t="n">
        <f aca="false">Cap_In!C258</f>
        <v>2.722</v>
      </c>
      <c r="R650" s="28" t="s">
        <v>608</v>
      </c>
      <c r="S650" s="41" t="str">
        <f aca="false">IF(ISNUMBER($AF650),INDEX(IDX_SrcStat,$AF650),"—")</f>
        <v>—</v>
      </c>
      <c r="T650" s="41" t="str">
        <f aca="false">IF(ISNUMBER($AF650),INDEX(IDX_SrcGrade,$AF650),"—")</f>
        <v>—</v>
      </c>
      <c r="U650" s="41" t="s">
        <v>3839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1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1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5722</v>
      </c>
      <c r="B651" s="196" t="s">
        <v>5718</v>
      </c>
      <c r="C651" s="28" t="s">
        <v>4904</v>
      </c>
      <c r="D651" s="28" t="s">
        <v>5723</v>
      </c>
      <c r="E651" s="6" t="s">
        <v>1628</v>
      </c>
      <c r="F651" s="28" t="s">
        <v>141</v>
      </c>
      <c r="G651" s="196" t="s">
        <v>3835</v>
      </c>
      <c r="H651" s="28" t="s">
        <v>608</v>
      </c>
      <c r="I651" s="6" t="s">
        <v>608</v>
      </c>
      <c r="J651" s="28" t="s">
        <v>5711</v>
      </c>
      <c r="K651" s="224" t="n">
        <v>7</v>
      </c>
      <c r="L651" s="224" t="n">
        <v>7</v>
      </c>
      <c r="M651" s="196" t="s">
        <v>5724</v>
      </c>
      <c r="N651" s="6" t="s">
        <v>5721</v>
      </c>
      <c r="O651" s="6" t="s">
        <v>608</v>
      </c>
      <c r="P651" s="196" t="s">
        <v>3838</v>
      </c>
      <c r="Q651" s="31" t="n">
        <f aca="false">Cap_In!D258</f>
        <v>7</v>
      </c>
      <c r="R651" s="28" t="s">
        <v>608</v>
      </c>
      <c r="S651" s="41" t="str">
        <f aca="false">IF(ISNUMBER($AF651),INDEX(IDX_SrcStat,$AF651),"—")</f>
        <v>—</v>
      </c>
      <c r="T651" s="41" t="str">
        <f aca="false">IF(ISNUMBER($AF651),INDEX(IDX_SrcGrade,$AF651),"—")</f>
        <v>—</v>
      </c>
      <c r="U651" s="41" t="s">
        <v>3839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1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1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5725</v>
      </c>
      <c r="B652" s="196" t="s">
        <v>5718</v>
      </c>
      <c r="C652" s="28" t="s">
        <v>4904</v>
      </c>
      <c r="D652" s="28" t="s">
        <v>5726</v>
      </c>
      <c r="E652" s="6" t="s">
        <v>1631</v>
      </c>
      <c r="F652" s="28" t="s">
        <v>141</v>
      </c>
      <c r="G652" s="196" t="s">
        <v>3835</v>
      </c>
      <c r="H652" s="28" t="s">
        <v>608</v>
      </c>
      <c r="I652" s="6" t="s">
        <v>608</v>
      </c>
      <c r="J652" s="28" t="s">
        <v>5711</v>
      </c>
      <c r="K652" s="224" t="n">
        <v>1.672</v>
      </c>
      <c r="L652" s="224" t="n">
        <v>1.672</v>
      </c>
      <c r="M652" s="196" t="s">
        <v>5720</v>
      </c>
      <c r="N652" s="6" t="s">
        <v>5727</v>
      </c>
      <c r="O652" s="6" t="s">
        <v>608</v>
      </c>
      <c r="P652" s="196" t="s">
        <v>3838</v>
      </c>
      <c r="Q652" s="184" t="n">
        <f aca="false">Cap_In!C259</f>
        <v>1.672</v>
      </c>
      <c r="R652" s="28" t="s">
        <v>608</v>
      </c>
      <c r="S652" s="41" t="str">
        <f aca="false">IF(ISNUMBER($AF652),INDEX(IDX_SrcStat,$AF652),"—")</f>
        <v>—</v>
      </c>
      <c r="T652" s="41" t="str">
        <f aca="false">IF(ISNUMBER($AF652),INDEX(IDX_SrcGrade,$AF652),"—")</f>
        <v>—</v>
      </c>
      <c r="U652" s="41" t="s">
        <v>3839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1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1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5728</v>
      </c>
      <c r="B653" s="196" t="s">
        <v>5718</v>
      </c>
      <c r="C653" s="28" t="s">
        <v>4904</v>
      </c>
      <c r="D653" s="28" t="s">
        <v>5729</v>
      </c>
      <c r="E653" s="6" t="s">
        <v>1631</v>
      </c>
      <c r="F653" s="28" t="s">
        <v>141</v>
      </c>
      <c r="G653" s="196" t="s">
        <v>3835</v>
      </c>
      <c r="H653" s="28" t="s">
        <v>608</v>
      </c>
      <c r="I653" s="6" t="s">
        <v>608</v>
      </c>
      <c r="J653" s="28" t="s">
        <v>5711</v>
      </c>
      <c r="K653" s="224" t="n">
        <v>4</v>
      </c>
      <c r="L653" s="224" t="n">
        <v>4</v>
      </c>
      <c r="M653" s="196" t="s">
        <v>5730</v>
      </c>
      <c r="N653" s="6" t="s">
        <v>5727</v>
      </c>
      <c r="O653" s="6" t="s">
        <v>608</v>
      </c>
      <c r="P653" s="196" t="s">
        <v>3838</v>
      </c>
      <c r="Q653" s="31" t="n">
        <f aca="false">Cap_In!D259</f>
        <v>4</v>
      </c>
      <c r="R653" s="28" t="s">
        <v>608</v>
      </c>
      <c r="S653" s="41" t="str">
        <f aca="false">IF(ISNUMBER($AF653),INDEX(IDX_SrcStat,$AF653),"—")</f>
        <v>—</v>
      </c>
      <c r="T653" s="41" t="str">
        <f aca="false">IF(ISNUMBER($AF653),INDEX(IDX_SrcGrade,$AF653),"—")</f>
        <v>—</v>
      </c>
      <c r="U653" s="41" t="s">
        <v>3839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1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1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5731</v>
      </c>
      <c r="B654" s="196" t="s">
        <v>5718</v>
      </c>
      <c r="C654" s="28" t="s">
        <v>4904</v>
      </c>
      <c r="D654" s="28" t="s">
        <v>5732</v>
      </c>
      <c r="E654" s="6" t="s">
        <v>1633</v>
      </c>
      <c r="F654" s="28" t="s">
        <v>141</v>
      </c>
      <c r="G654" s="196" t="s">
        <v>3835</v>
      </c>
      <c r="H654" s="28" t="s">
        <v>608</v>
      </c>
      <c r="I654" s="6" t="s">
        <v>608</v>
      </c>
      <c r="J654" s="28" t="s">
        <v>5711</v>
      </c>
      <c r="K654" s="224" t="n">
        <v>2.341</v>
      </c>
      <c r="L654" s="224" t="n">
        <v>2.341</v>
      </c>
      <c r="M654" s="196" t="s">
        <v>5720</v>
      </c>
      <c r="N654" s="6" t="s">
        <v>5733</v>
      </c>
      <c r="O654" s="6" t="s">
        <v>608</v>
      </c>
      <c r="P654" s="196" t="s">
        <v>3838</v>
      </c>
      <c r="Q654" s="184" t="n">
        <f aca="false">Cap_In!C260</f>
        <v>2.341</v>
      </c>
      <c r="R654" s="28" t="s">
        <v>608</v>
      </c>
      <c r="S654" s="41" t="str">
        <f aca="false">IF(ISNUMBER($AF654),INDEX(IDX_SrcStat,$AF654),"—")</f>
        <v>—</v>
      </c>
      <c r="T654" s="41" t="str">
        <f aca="false">IF(ISNUMBER($AF654),INDEX(IDX_SrcGrade,$AF654),"—")</f>
        <v>—</v>
      </c>
      <c r="U654" s="41" t="s">
        <v>3839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1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1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5734</v>
      </c>
      <c r="B655" s="196" t="s">
        <v>5718</v>
      </c>
      <c r="C655" s="28" t="s">
        <v>4904</v>
      </c>
      <c r="D655" s="28" t="s">
        <v>5735</v>
      </c>
      <c r="E655" s="6" t="s">
        <v>1633</v>
      </c>
      <c r="F655" s="28" t="s">
        <v>141</v>
      </c>
      <c r="G655" s="196" t="s">
        <v>3835</v>
      </c>
      <c r="H655" s="28" t="s">
        <v>608</v>
      </c>
      <c r="I655" s="6" t="s">
        <v>608</v>
      </c>
      <c r="J655" s="28" t="s">
        <v>5711</v>
      </c>
      <c r="K655" s="224" t="n">
        <v>1</v>
      </c>
      <c r="L655" s="224" t="n">
        <v>1</v>
      </c>
      <c r="M655" s="196" t="s">
        <v>5736</v>
      </c>
      <c r="N655" s="6" t="s">
        <v>5733</v>
      </c>
      <c r="O655" s="6" t="s">
        <v>608</v>
      </c>
      <c r="P655" s="196" t="s">
        <v>3838</v>
      </c>
      <c r="Q655" s="31" t="n">
        <f aca="false">Cap_In!D260</f>
        <v>1</v>
      </c>
      <c r="R655" s="28" t="s">
        <v>608</v>
      </c>
      <c r="S655" s="41" t="str">
        <f aca="false">IF(ISNUMBER($AF655),INDEX(IDX_SrcStat,$AF655),"—")</f>
        <v>—</v>
      </c>
      <c r="T655" s="41" t="str">
        <f aca="false">IF(ISNUMBER($AF655),INDEX(IDX_SrcGrade,$AF655),"—")</f>
        <v>—</v>
      </c>
      <c r="U655" s="41" t="s">
        <v>3839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1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1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9" t="s">
        <v>5737</v>
      </c>
    </row>
    <row r="2" customFormat="false" ht="15" hidden="false" customHeight="true" outlineLevel="0" collapsed="false">
      <c r="A2" s="42" t="s">
        <v>5738</v>
      </c>
    </row>
    <row r="4" customFormat="false" ht="29.25" hidden="false" customHeight="true" outlineLevel="0" collapsed="false">
      <c r="A4" s="220" t="s">
        <v>3808</v>
      </c>
      <c r="B4" s="220" t="s">
        <v>3342</v>
      </c>
      <c r="C4" s="220" t="s">
        <v>357</v>
      </c>
      <c r="D4" s="220" t="s">
        <v>5739</v>
      </c>
      <c r="E4" s="220" t="s">
        <v>5740</v>
      </c>
      <c r="F4" s="82" t="s">
        <v>5741</v>
      </c>
      <c r="G4" s="220" t="s">
        <v>595</v>
      </c>
      <c r="H4" s="220" t="s">
        <v>5742</v>
      </c>
      <c r="I4" s="220" t="s">
        <v>5743</v>
      </c>
      <c r="J4" s="220" t="s">
        <v>5744</v>
      </c>
    </row>
    <row r="5" customFormat="false" ht="29.25" hidden="false" customHeight="true" outlineLevel="0" collapsed="false">
      <c r="A5" s="28" t="s">
        <v>3836</v>
      </c>
      <c r="B5" s="28" t="s">
        <v>5745</v>
      </c>
      <c r="C5" s="19" t="s">
        <v>6</v>
      </c>
      <c r="D5" s="6" t="s">
        <v>5746</v>
      </c>
      <c r="E5" s="28" t="s">
        <v>5747</v>
      </c>
      <c r="F5" s="6" t="s">
        <v>608</v>
      </c>
      <c r="G5" s="222" t="s">
        <v>5748</v>
      </c>
      <c r="H5" s="6" t="s">
        <v>5749</v>
      </c>
      <c r="I5" s="222" t="s">
        <v>5750</v>
      </c>
      <c r="J5" s="222" t="s">
        <v>639</v>
      </c>
    </row>
    <row r="6" customFormat="false" ht="29.25" hidden="false" customHeight="true" outlineLevel="0" collapsed="false">
      <c r="A6" s="28" t="s">
        <v>5751</v>
      </c>
      <c r="B6" s="28" t="s">
        <v>5745</v>
      </c>
      <c r="C6" s="19" t="s">
        <v>165</v>
      </c>
      <c r="D6" s="6" t="s">
        <v>5752</v>
      </c>
      <c r="E6" s="28" t="s">
        <v>5747</v>
      </c>
      <c r="F6" s="6" t="s">
        <v>608</v>
      </c>
      <c r="G6" s="222" t="s">
        <v>5748</v>
      </c>
      <c r="H6" s="6" t="s">
        <v>608</v>
      </c>
      <c r="I6" s="222" t="s">
        <v>5750</v>
      </c>
      <c r="J6" s="222" t="s">
        <v>639</v>
      </c>
    </row>
    <row r="7" customFormat="false" ht="29.25" hidden="false" customHeight="true" outlineLevel="0" collapsed="false">
      <c r="A7" s="28" t="s">
        <v>3841</v>
      </c>
      <c r="B7" s="28" t="s">
        <v>5745</v>
      </c>
      <c r="C7" s="6" t="s">
        <v>5753</v>
      </c>
      <c r="D7" s="19" t="s">
        <v>5754</v>
      </c>
      <c r="E7" s="28" t="s">
        <v>5747</v>
      </c>
      <c r="F7" s="6" t="s">
        <v>608</v>
      </c>
      <c r="G7" s="222" t="s">
        <v>5748</v>
      </c>
      <c r="H7" s="6" t="s">
        <v>5755</v>
      </c>
      <c r="I7" s="222" t="s">
        <v>5750</v>
      </c>
      <c r="J7" s="222" t="s">
        <v>639</v>
      </c>
    </row>
    <row r="8" customFormat="false" ht="29.25" hidden="false" customHeight="true" outlineLevel="0" collapsed="false">
      <c r="A8" s="28" t="s">
        <v>3972</v>
      </c>
      <c r="B8" s="28" t="s">
        <v>5745</v>
      </c>
      <c r="C8" s="19" t="s">
        <v>5756</v>
      </c>
      <c r="D8" s="19" t="s">
        <v>5757</v>
      </c>
      <c r="E8" s="28" t="s">
        <v>5747</v>
      </c>
      <c r="F8" s="6" t="s">
        <v>608</v>
      </c>
      <c r="G8" s="222" t="s">
        <v>5748</v>
      </c>
      <c r="H8" s="6" t="s">
        <v>5758</v>
      </c>
      <c r="I8" s="222" t="s">
        <v>5750</v>
      </c>
      <c r="J8" s="222" t="s">
        <v>639</v>
      </c>
    </row>
    <row r="9" customFormat="false" ht="15" hidden="false" customHeight="true" outlineLevel="0" collapsed="false">
      <c r="A9" s="28" t="s">
        <v>4499</v>
      </c>
      <c r="B9" s="28" t="s">
        <v>5745</v>
      </c>
      <c r="C9" s="19" t="s">
        <v>252</v>
      </c>
      <c r="D9" s="19" t="s">
        <v>5759</v>
      </c>
      <c r="E9" s="28" t="s">
        <v>5747</v>
      </c>
      <c r="F9" s="6" t="s">
        <v>608</v>
      </c>
      <c r="G9" s="222" t="s">
        <v>5748</v>
      </c>
      <c r="H9" s="6" t="s">
        <v>608</v>
      </c>
      <c r="I9" s="222" t="s">
        <v>5750</v>
      </c>
      <c r="J9" s="222" t="s">
        <v>639</v>
      </c>
    </row>
    <row r="10" customFormat="false" ht="15" hidden="false" customHeight="true" outlineLevel="0" collapsed="false">
      <c r="A10" s="28" t="s">
        <v>4002</v>
      </c>
      <c r="B10" s="28" t="s">
        <v>5745</v>
      </c>
      <c r="C10" s="19" t="s">
        <v>5760</v>
      </c>
      <c r="D10" s="6" t="s">
        <v>5761</v>
      </c>
      <c r="E10" s="28" t="s">
        <v>5747</v>
      </c>
      <c r="F10" s="6" t="s">
        <v>608</v>
      </c>
      <c r="G10" s="222" t="s">
        <v>5748</v>
      </c>
      <c r="H10" s="6" t="s">
        <v>608</v>
      </c>
      <c r="I10" s="222" t="s">
        <v>5750</v>
      </c>
      <c r="J10" s="222" t="s">
        <v>639</v>
      </c>
    </row>
    <row r="11" customFormat="false" ht="15" hidden="false" customHeight="true" outlineLevel="0" collapsed="false">
      <c r="A11" s="28" t="s">
        <v>4328</v>
      </c>
      <c r="B11" s="28" t="s">
        <v>5745</v>
      </c>
      <c r="C11" s="19" t="s">
        <v>5762</v>
      </c>
      <c r="D11" s="6" t="s">
        <v>5763</v>
      </c>
      <c r="E11" s="28" t="s">
        <v>5747</v>
      </c>
      <c r="F11" s="6" t="s">
        <v>608</v>
      </c>
      <c r="G11" s="222" t="s">
        <v>5748</v>
      </c>
      <c r="H11" s="6" t="s">
        <v>608</v>
      </c>
      <c r="I11" s="222" t="s">
        <v>5750</v>
      </c>
      <c r="J11" s="222" t="s">
        <v>639</v>
      </c>
    </row>
    <row r="12" customFormat="false" ht="26.25" hidden="false" customHeight="true" outlineLevel="0" collapsed="false">
      <c r="A12" s="28" t="s">
        <v>4014</v>
      </c>
      <c r="B12" s="28" t="s">
        <v>5745</v>
      </c>
      <c r="C12" s="19" t="s">
        <v>5764</v>
      </c>
      <c r="D12" s="6" t="s">
        <v>5765</v>
      </c>
      <c r="E12" s="28" t="s">
        <v>5747</v>
      </c>
      <c r="F12" s="6" t="s">
        <v>608</v>
      </c>
      <c r="G12" s="222" t="s">
        <v>5748</v>
      </c>
      <c r="H12" s="6" t="s">
        <v>608</v>
      </c>
      <c r="I12" s="222" t="s">
        <v>5750</v>
      </c>
      <c r="J12" s="222" t="s">
        <v>639</v>
      </c>
    </row>
    <row r="13" customFormat="false" ht="15" hidden="false" customHeight="true" outlineLevel="0" collapsed="false">
      <c r="A13" s="28" t="s">
        <v>3848</v>
      </c>
      <c r="B13" s="28" t="s">
        <v>5745</v>
      </c>
      <c r="C13" s="19" t="s">
        <v>5766</v>
      </c>
      <c r="D13" s="19" t="s">
        <v>5767</v>
      </c>
      <c r="E13" s="28" t="s">
        <v>5747</v>
      </c>
      <c r="F13" s="6" t="s">
        <v>608</v>
      </c>
      <c r="G13" s="222" t="s">
        <v>5748</v>
      </c>
      <c r="H13" s="6" t="s">
        <v>608</v>
      </c>
      <c r="I13" s="222" t="s">
        <v>5750</v>
      </c>
      <c r="J13" s="222" t="s">
        <v>639</v>
      </c>
    </row>
    <row r="14" customFormat="false" ht="15" hidden="false" customHeight="true" outlineLevel="0" collapsed="false">
      <c r="A14" s="28" t="s">
        <v>3853</v>
      </c>
      <c r="B14" s="28" t="s">
        <v>5745</v>
      </c>
      <c r="C14" s="6" t="s">
        <v>892</v>
      </c>
      <c r="D14" s="19" t="s">
        <v>5768</v>
      </c>
      <c r="E14" s="28" t="s">
        <v>5747</v>
      </c>
      <c r="F14" s="6" t="s">
        <v>608</v>
      </c>
      <c r="G14" s="222" t="s">
        <v>5748</v>
      </c>
      <c r="H14" s="6" t="s">
        <v>5769</v>
      </c>
      <c r="I14" s="222" t="s">
        <v>5750</v>
      </c>
      <c r="J14" s="222" t="s">
        <v>639</v>
      </c>
    </row>
    <row r="15" customFormat="false" ht="29.25" hidden="false" customHeight="true" outlineLevel="0" collapsed="false">
      <c r="A15" s="28" t="s">
        <v>3860</v>
      </c>
      <c r="B15" s="28" t="s">
        <v>5745</v>
      </c>
      <c r="C15" s="19" t="s">
        <v>5770</v>
      </c>
      <c r="D15" s="6" t="s">
        <v>5771</v>
      </c>
      <c r="E15" s="28" t="s">
        <v>5747</v>
      </c>
      <c r="F15" s="6" t="s">
        <v>608</v>
      </c>
      <c r="G15" s="222" t="s">
        <v>5748</v>
      </c>
      <c r="H15" s="6" t="s">
        <v>608</v>
      </c>
      <c r="I15" s="222" t="s">
        <v>5750</v>
      </c>
      <c r="J15" s="222" t="s">
        <v>639</v>
      </c>
    </row>
    <row r="16" customFormat="false" ht="15" hidden="false" customHeight="true" outlineLevel="0" collapsed="false">
      <c r="A16" s="28" t="s">
        <v>4414</v>
      </c>
      <c r="B16" s="28" t="s">
        <v>5772</v>
      </c>
      <c r="C16" s="6" t="s">
        <v>5773</v>
      </c>
      <c r="D16" s="19" t="s">
        <v>5774</v>
      </c>
      <c r="E16" s="28" t="s">
        <v>5747</v>
      </c>
      <c r="F16" s="6" t="s">
        <v>608</v>
      </c>
      <c r="G16" s="222" t="s">
        <v>5748</v>
      </c>
      <c r="H16" s="6" t="s">
        <v>5775</v>
      </c>
      <c r="I16" s="222" t="s">
        <v>5750</v>
      </c>
      <c r="J16" s="222" t="s">
        <v>639</v>
      </c>
    </row>
    <row r="17" customFormat="false" ht="15" hidden="false" customHeight="true" outlineLevel="0" collapsed="false">
      <c r="A17" s="28" t="s">
        <v>4462</v>
      </c>
      <c r="B17" s="28" t="s">
        <v>5772</v>
      </c>
      <c r="C17" s="6" t="s">
        <v>5776</v>
      </c>
      <c r="D17" s="19" t="s">
        <v>5777</v>
      </c>
      <c r="E17" s="28" t="s">
        <v>5747</v>
      </c>
      <c r="F17" s="6" t="s">
        <v>608</v>
      </c>
      <c r="G17" s="222" t="s">
        <v>5748</v>
      </c>
      <c r="H17" s="6" t="s">
        <v>5778</v>
      </c>
      <c r="I17" s="222" t="s">
        <v>5750</v>
      </c>
      <c r="J17" s="222" t="s">
        <v>639</v>
      </c>
    </row>
    <row r="18" customFormat="false" ht="29.25" hidden="false" customHeight="true" outlineLevel="0" collapsed="false">
      <c r="A18" s="28" t="s">
        <v>4466</v>
      </c>
      <c r="B18" s="28" t="s">
        <v>5772</v>
      </c>
      <c r="C18" s="6" t="s">
        <v>5779</v>
      </c>
      <c r="D18" s="19" t="s">
        <v>5780</v>
      </c>
      <c r="E18" s="28" t="s">
        <v>5747</v>
      </c>
      <c r="F18" s="6" t="s">
        <v>608</v>
      </c>
      <c r="G18" s="222" t="s">
        <v>5748</v>
      </c>
      <c r="H18" s="6" t="s">
        <v>5781</v>
      </c>
      <c r="I18" s="222" t="s">
        <v>5750</v>
      </c>
      <c r="J18" s="222" t="s">
        <v>639</v>
      </c>
    </row>
    <row r="19" customFormat="false" ht="15" hidden="false" customHeight="true" outlineLevel="0" collapsed="false">
      <c r="A19" s="28" t="s">
        <v>5782</v>
      </c>
      <c r="B19" s="28" t="s">
        <v>5772</v>
      </c>
      <c r="C19" s="6" t="s">
        <v>5783</v>
      </c>
      <c r="D19" s="19" t="s">
        <v>5784</v>
      </c>
      <c r="E19" s="28" t="s">
        <v>5747</v>
      </c>
      <c r="F19" s="6" t="s">
        <v>608</v>
      </c>
      <c r="G19" s="222" t="s">
        <v>5748</v>
      </c>
      <c r="H19" s="6" t="s">
        <v>608</v>
      </c>
      <c r="I19" s="222" t="s">
        <v>5750</v>
      </c>
      <c r="J19" s="222" t="s">
        <v>639</v>
      </c>
    </row>
    <row r="20" customFormat="false" ht="15" hidden="false" customHeight="true" outlineLevel="0" collapsed="false">
      <c r="A20" s="28" t="s">
        <v>5785</v>
      </c>
      <c r="B20" s="28" t="s">
        <v>5772</v>
      </c>
      <c r="C20" s="19" t="s">
        <v>5786</v>
      </c>
      <c r="D20" s="19" t="s">
        <v>5787</v>
      </c>
      <c r="E20" s="28" t="s">
        <v>5747</v>
      </c>
      <c r="F20" s="6" t="s">
        <v>608</v>
      </c>
      <c r="G20" s="222" t="s">
        <v>5748</v>
      </c>
      <c r="H20" s="6" t="s">
        <v>608</v>
      </c>
      <c r="I20" s="222" t="s">
        <v>5750</v>
      </c>
      <c r="J20" s="222" t="s">
        <v>639</v>
      </c>
    </row>
    <row r="21" customFormat="false" ht="15" hidden="false" customHeight="true" outlineLevel="0" collapsed="false">
      <c r="A21" s="28" t="s">
        <v>5788</v>
      </c>
      <c r="B21" s="28" t="s">
        <v>5772</v>
      </c>
      <c r="C21" s="19" t="s">
        <v>5789</v>
      </c>
      <c r="D21" s="6" t="s">
        <v>5790</v>
      </c>
      <c r="E21" s="28" t="s">
        <v>5747</v>
      </c>
      <c r="F21" s="6" t="s">
        <v>608</v>
      </c>
      <c r="G21" s="222" t="s">
        <v>5791</v>
      </c>
      <c r="H21" s="6" t="s">
        <v>5792</v>
      </c>
      <c r="I21" s="222" t="s">
        <v>5750</v>
      </c>
      <c r="J21" s="222" t="s">
        <v>639</v>
      </c>
    </row>
    <row r="22" customFormat="false" ht="29.25" hidden="false" customHeight="true" outlineLevel="0" collapsed="false">
      <c r="A22" s="28" t="s">
        <v>5793</v>
      </c>
      <c r="B22" s="28" t="s">
        <v>5772</v>
      </c>
      <c r="C22" s="19" t="s">
        <v>5794</v>
      </c>
      <c r="D22" s="6" t="s">
        <v>5795</v>
      </c>
      <c r="E22" s="28" t="s">
        <v>5747</v>
      </c>
      <c r="F22" s="19" t="s">
        <v>5796</v>
      </c>
      <c r="G22" s="222" t="s">
        <v>5791</v>
      </c>
      <c r="H22" s="6" t="s">
        <v>5797</v>
      </c>
      <c r="I22" s="222" t="s">
        <v>5750</v>
      </c>
      <c r="J22" s="222" t="s">
        <v>639</v>
      </c>
    </row>
    <row r="23" customFormat="false" ht="29.25" hidden="false" customHeight="true" outlineLevel="0" collapsed="false">
      <c r="A23" s="28" t="s">
        <v>5798</v>
      </c>
      <c r="B23" s="222" t="s">
        <v>5799</v>
      </c>
      <c r="C23" s="19" t="s">
        <v>48</v>
      </c>
      <c r="D23" s="6" t="s">
        <v>5800</v>
      </c>
      <c r="E23" s="28" t="s">
        <v>5801</v>
      </c>
      <c r="F23" s="6" t="s">
        <v>608</v>
      </c>
      <c r="G23" s="222" t="s">
        <v>5748</v>
      </c>
      <c r="H23" s="6" t="s">
        <v>608</v>
      </c>
      <c r="I23" s="222" t="s">
        <v>5750</v>
      </c>
      <c r="J23" s="222" t="s">
        <v>639</v>
      </c>
    </row>
    <row r="24" customFormat="false" ht="15" hidden="false" customHeight="true" outlineLevel="0" collapsed="false">
      <c r="A24" s="28" t="s">
        <v>5802</v>
      </c>
      <c r="B24" s="28" t="s">
        <v>5772</v>
      </c>
      <c r="C24" s="19" t="s">
        <v>5803</v>
      </c>
      <c r="D24" s="6" t="s">
        <v>5804</v>
      </c>
      <c r="E24" s="28" t="s">
        <v>5747</v>
      </c>
      <c r="F24" s="6" t="s">
        <v>608</v>
      </c>
      <c r="G24" s="222" t="s">
        <v>5748</v>
      </c>
      <c r="H24" s="6" t="s">
        <v>608</v>
      </c>
      <c r="I24" s="222" t="s">
        <v>5750</v>
      </c>
      <c r="J24" s="222" t="s">
        <v>639</v>
      </c>
    </row>
    <row r="25" customFormat="false" ht="29.25" hidden="false" customHeight="true" outlineLevel="0" collapsed="false">
      <c r="A25" s="28" t="s">
        <v>5257</v>
      </c>
      <c r="B25" s="28" t="s">
        <v>5772</v>
      </c>
      <c r="C25" s="6" t="s">
        <v>5805</v>
      </c>
      <c r="D25" s="19" t="s">
        <v>5806</v>
      </c>
      <c r="E25" s="28" t="s">
        <v>5747</v>
      </c>
      <c r="F25" s="6" t="s">
        <v>608</v>
      </c>
      <c r="G25" s="222" t="s">
        <v>5748</v>
      </c>
      <c r="H25" s="6" t="s">
        <v>608</v>
      </c>
      <c r="I25" s="222" t="s">
        <v>5750</v>
      </c>
      <c r="J25" s="222" t="s">
        <v>639</v>
      </c>
    </row>
    <row r="26" customFormat="false" ht="43.5" hidden="false" customHeight="true" outlineLevel="0" collapsed="false">
      <c r="A26" s="28" t="s">
        <v>5287</v>
      </c>
      <c r="B26" s="28" t="s">
        <v>5772</v>
      </c>
      <c r="C26" s="6" t="s">
        <v>5807</v>
      </c>
      <c r="D26" s="19" t="s">
        <v>5808</v>
      </c>
      <c r="E26" s="28" t="s">
        <v>1223</v>
      </c>
      <c r="F26" s="6" t="s">
        <v>608</v>
      </c>
      <c r="G26" s="222" t="s">
        <v>5748</v>
      </c>
      <c r="H26" s="6" t="s">
        <v>608</v>
      </c>
      <c r="I26" s="222" t="s">
        <v>5750</v>
      </c>
      <c r="J26" s="222" t="s">
        <v>639</v>
      </c>
    </row>
    <row r="27" customFormat="false" ht="15" hidden="false" customHeight="true" outlineLevel="0" collapsed="false">
      <c r="A27" s="28" t="s">
        <v>5240</v>
      </c>
      <c r="B27" s="28" t="s">
        <v>5772</v>
      </c>
      <c r="C27" s="19" t="s">
        <v>1086</v>
      </c>
      <c r="D27" s="19" t="s">
        <v>5809</v>
      </c>
      <c r="E27" s="28" t="s">
        <v>5747</v>
      </c>
      <c r="F27" s="6" t="s">
        <v>608</v>
      </c>
      <c r="G27" s="222" t="s">
        <v>5748</v>
      </c>
      <c r="H27" s="6" t="s">
        <v>608</v>
      </c>
      <c r="I27" s="222" t="s">
        <v>5750</v>
      </c>
      <c r="J27" s="222" t="s">
        <v>639</v>
      </c>
    </row>
    <row r="28" customFormat="false" ht="15" hidden="false" customHeight="true" outlineLevel="0" collapsed="false">
      <c r="A28" s="28" t="s">
        <v>5810</v>
      </c>
      <c r="B28" s="28" t="s">
        <v>5772</v>
      </c>
      <c r="C28" s="19" t="s">
        <v>5811</v>
      </c>
      <c r="D28" s="6" t="s">
        <v>5812</v>
      </c>
      <c r="E28" s="28" t="s">
        <v>5747</v>
      </c>
      <c r="F28" s="6" t="s">
        <v>608</v>
      </c>
      <c r="G28" s="222" t="s">
        <v>5748</v>
      </c>
      <c r="H28" s="6" t="s">
        <v>608</v>
      </c>
      <c r="I28" s="222" t="s">
        <v>5750</v>
      </c>
      <c r="J28" s="222" t="s">
        <v>639</v>
      </c>
    </row>
    <row r="29" customFormat="false" ht="15" hidden="false" customHeight="true" outlineLevel="0" collapsed="false">
      <c r="A29" s="28" t="s">
        <v>5348</v>
      </c>
      <c r="B29" s="28" t="s">
        <v>5772</v>
      </c>
      <c r="C29" s="6" t="s">
        <v>5813</v>
      </c>
      <c r="D29" s="6" t="s">
        <v>5814</v>
      </c>
      <c r="E29" s="28" t="s">
        <v>5747</v>
      </c>
      <c r="F29" s="6" t="s">
        <v>608</v>
      </c>
      <c r="G29" s="222" t="s">
        <v>5748</v>
      </c>
      <c r="H29" s="6" t="s">
        <v>608</v>
      </c>
      <c r="I29" s="222" t="s">
        <v>5750</v>
      </c>
      <c r="J29" s="222" t="s">
        <v>639</v>
      </c>
    </row>
    <row r="30" customFormat="false" ht="15" hidden="false" customHeight="true" outlineLevel="0" collapsed="false">
      <c r="A30" s="28" t="s">
        <v>5247</v>
      </c>
      <c r="B30" s="28" t="s">
        <v>5772</v>
      </c>
      <c r="C30" s="19" t="s">
        <v>5815</v>
      </c>
      <c r="D30" s="6" t="s">
        <v>5816</v>
      </c>
      <c r="E30" s="28" t="s">
        <v>5801</v>
      </c>
      <c r="F30" s="6" t="s">
        <v>608</v>
      </c>
      <c r="G30" s="222" t="s">
        <v>5748</v>
      </c>
      <c r="H30" s="6" t="s">
        <v>5817</v>
      </c>
      <c r="I30" s="222" t="s">
        <v>5750</v>
      </c>
      <c r="J30" s="222" t="s">
        <v>639</v>
      </c>
    </row>
    <row r="31" customFormat="false" ht="15" hidden="false" customHeight="true" outlineLevel="0" collapsed="false">
      <c r="A31" s="28" t="s">
        <v>4876</v>
      </c>
      <c r="B31" s="28" t="s">
        <v>5772</v>
      </c>
      <c r="C31" s="19" t="s">
        <v>5818</v>
      </c>
      <c r="D31" s="19" t="s">
        <v>5819</v>
      </c>
      <c r="E31" s="28" t="s">
        <v>5747</v>
      </c>
      <c r="F31" s="6" t="s">
        <v>608</v>
      </c>
      <c r="G31" s="222" t="s">
        <v>5748</v>
      </c>
      <c r="H31" s="6" t="s">
        <v>608</v>
      </c>
      <c r="I31" s="222" t="s">
        <v>5750</v>
      </c>
      <c r="J31" s="222" t="s">
        <v>639</v>
      </c>
    </row>
    <row r="32" customFormat="false" ht="43.5" hidden="false" customHeight="true" outlineLevel="0" collapsed="false">
      <c r="A32" s="28" t="s">
        <v>5820</v>
      </c>
      <c r="B32" s="222" t="s">
        <v>5799</v>
      </c>
      <c r="C32" s="19" t="s">
        <v>5821</v>
      </c>
      <c r="D32" s="6" t="s">
        <v>5822</v>
      </c>
      <c r="E32" s="28" t="s">
        <v>5823</v>
      </c>
      <c r="F32" s="6" t="s">
        <v>608</v>
      </c>
      <c r="G32" s="222" t="s">
        <v>5748</v>
      </c>
      <c r="H32" s="6" t="s">
        <v>608</v>
      </c>
      <c r="I32" s="222" t="s">
        <v>5750</v>
      </c>
      <c r="J32" s="222" t="s">
        <v>639</v>
      </c>
    </row>
    <row r="33" customFormat="false" ht="43.5" hidden="false" customHeight="true" outlineLevel="0" collapsed="false">
      <c r="A33" s="28" t="s">
        <v>5824</v>
      </c>
      <c r="B33" s="222" t="s">
        <v>5799</v>
      </c>
      <c r="C33" s="6" t="s">
        <v>5825</v>
      </c>
      <c r="D33" s="19" t="s">
        <v>5826</v>
      </c>
      <c r="E33" s="28" t="s">
        <v>5747</v>
      </c>
      <c r="F33" s="6" t="s">
        <v>608</v>
      </c>
      <c r="G33" s="222" t="s">
        <v>5748</v>
      </c>
      <c r="H33" s="6" t="s">
        <v>608</v>
      </c>
      <c r="I33" s="222" t="s">
        <v>5750</v>
      </c>
      <c r="J33" s="222" t="s">
        <v>639</v>
      </c>
    </row>
    <row r="34" customFormat="false" ht="43.5" hidden="false" customHeight="true" outlineLevel="0" collapsed="false">
      <c r="A34" s="28" t="s">
        <v>5827</v>
      </c>
      <c r="B34" s="222" t="s">
        <v>5799</v>
      </c>
      <c r="C34" s="6" t="s">
        <v>5828</v>
      </c>
      <c r="D34" s="19" t="s">
        <v>5829</v>
      </c>
      <c r="E34" s="28" t="s">
        <v>1223</v>
      </c>
      <c r="F34" s="6" t="s">
        <v>608</v>
      </c>
      <c r="G34" s="222" t="s">
        <v>5748</v>
      </c>
      <c r="H34" s="6" t="s">
        <v>608</v>
      </c>
      <c r="I34" s="222" t="s">
        <v>5750</v>
      </c>
      <c r="J34" s="222" t="s">
        <v>639</v>
      </c>
    </row>
    <row r="35" customFormat="false" ht="43.5" hidden="false" customHeight="true" outlineLevel="0" collapsed="false">
      <c r="A35" s="28" t="s">
        <v>5830</v>
      </c>
      <c r="B35" s="222" t="s">
        <v>5799</v>
      </c>
      <c r="C35" s="19" t="s">
        <v>5831</v>
      </c>
      <c r="D35" s="6" t="s">
        <v>5832</v>
      </c>
      <c r="E35" s="28" t="s">
        <v>1223</v>
      </c>
      <c r="F35" s="6" t="s">
        <v>608</v>
      </c>
      <c r="G35" s="222" t="s">
        <v>5748</v>
      </c>
      <c r="H35" s="6" t="s">
        <v>608</v>
      </c>
      <c r="I35" s="222" t="s">
        <v>5750</v>
      </c>
      <c r="J35" s="222" t="s">
        <v>639</v>
      </c>
    </row>
    <row r="36" customFormat="false" ht="15" hidden="false" customHeight="true" outlineLevel="0" collapsed="false">
      <c r="A36" s="28" t="s">
        <v>5833</v>
      </c>
      <c r="B36" s="222" t="s">
        <v>5799</v>
      </c>
      <c r="C36" s="19" t="s">
        <v>5834</v>
      </c>
      <c r="D36" s="19" t="s">
        <v>5835</v>
      </c>
      <c r="E36" s="28" t="s">
        <v>5747</v>
      </c>
      <c r="F36" s="6" t="s">
        <v>608</v>
      </c>
      <c r="G36" s="222" t="s">
        <v>5748</v>
      </c>
      <c r="H36" s="6" t="s">
        <v>608</v>
      </c>
      <c r="I36" s="222" t="s">
        <v>5750</v>
      </c>
      <c r="J36" s="222" t="s">
        <v>639</v>
      </c>
    </row>
    <row r="37" customFormat="false" ht="15" hidden="false" customHeight="true" outlineLevel="0" collapsed="false">
      <c r="A37" s="28" t="s">
        <v>3761</v>
      </c>
      <c r="B37" s="28" t="s">
        <v>703</v>
      </c>
      <c r="C37" s="19" t="s">
        <v>5836</v>
      </c>
      <c r="D37" s="6" t="s">
        <v>5837</v>
      </c>
      <c r="E37" s="28" t="s">
        <v>1223</v>
      </c>
      <c r="F37" s="19" t="s">
        <v>5838</v>
      </c>
      <c r="G37" s="222" t="s">
        <v>5748</v>
      </c>
      <c r="H37" s="6" t="s">
        <v>608</v>
      </c>
      <c r="I37" s="222" t="s">
        <v>5750</v>
      </c>
      <c r="J37" s="222" t="s">
        <v>639</v>
      </c>
    </row>
    <row r="38" customFormat="false" ht="29.25" hidden="false" customHeight="true" outlineLevel="0" collapsed="false">
      <c r="A38" s="28" t="s">
        <v>3764</v>
      </c>
      <c r="B38" s="28" t="s">
        <v>703</v>
      </c>
      <c r="C38" s="19" t="s">
        <v>5839</v>
      </c>
      <c r="D38" s="6" t="s">
        <v>5840</v>
      </c>
      <c r="E38" s="28" t="s">
        <v>5747</v>
      </c>
      <c r="F38" s="19" t="s">
        <v>5841</v>
      </c>
      <c r="G38" s="222" t="s">
        <v>5748</v>
      </c>
      <c r="H38" s="6" t="s">
        <v>608</v>
      </c>
      <c r="I38" s="222" t="s">
        <v>5750</v>
      </c>
      <c r="J38" s="222" t="s">
        <v>639</v>
      </c>
    </row>
    <row r="39" customFormat="false" ht="29.25" hidden="false" customHeight="true" outlineLevel="0" collapsed="false">
      <c r="A39" s="28" t="s">
        <v>3767</v>
      </c>
      <c r="B39" s="28" t="s">
        <v>703</v>
      </c>
      <c r="C39" s="19" t="s">
        <v>5842</v>
      </c>
      <c r="D39" s="6" t="s">
        <v>5843</v>
      </c>
      <c r="E39" s="28" t="s">
        <v>5747</v>
      </c>
      <c r="F39" s="6" t="s">
        <v>608</v>
      </c>
      <c r="G39" s="222" t="s">
        <v>5748</v>
      </c>
      <c r="H39" s="6" t="s">
        <v>608</v>
      </c>
      <c r="I39" s="222" t="s">
        <v>5750</v>
      </c>
      <c r="J39" s="222" t="s">
        <v>639</v>
      </c>
    </row>
    <row r="40" customFormat="false" ht="43.5" hidden="false" customHeight="true" outlineLevel="0" collapsed="false">
      <c r="A40" s="28" t="s">
        <v>3770</v>
      </c>
      <c r="B40" s="28" t="s">
        <v>703</v>
      </c>
      <c r="C40" s="19" t="s">
        <v>5844</v>
      </c>
      <c r="D40" s="6" t="s">
        <v>5845</v>
      </c>
      <c r="E40" s="28" t="s">
        <v>5747</v>
      </c>
      <c r="F40" s="19" t="s">
        <v>5846</v>
      </c>
      <c r="G40" s="222" t="s">
        <v>5748</v>
      </c>
      <c r="H40" s="6" t="s">
        <v>608</v>
      </c>
      <c r="I40" s="222" t="s">
        <v>5750</v>
      </c>
      <c r="J40" s="222" t="s">
        <v>639</v>
      </c>
    </row>
    <row r="41" customFormat="false" ht="15" hidden="false" customHeight="true" outlineLevel="0" collapsed="false">
      <c r="A41" s="28" t="s">
        <v>3773</v>
      </c>
      <c r="B41" s="28" t="s">
        <v>703</v>
      </c>
      <c r="C41" s="19" t="s">
        <v>5847</v>
      </c>
      <c r="D41" s="6" t="s">
        <v>5848</v>
      </c>
      <c r="E41" s="28" t="s">
        <v>5747</v>
      </c>
      <c r="F41" s="6" t="s">
        <v>608</v>
      </c>
      <c r="G41" s="222" t="s">
        <v>5748</v>
      </c>
      <c r="H41" s="6" t="s">
        <v>608</v>
      </c>
      <c r="I41" s="222" t="s">
        <v>5750</v>
      </c>
      <c r="J41" s="222" t="s">
        <v>639</v>
      </c>
    </row>
    <row r="42" customFormat="false" ht="43.5" hidden="false" customHeight="true" outlineLevel="0" collapsed="false">
      <c r="A42" s="28" t="s">
        <v>3776</v>
      </c>
      <c r="B42" s="28" t="s">
        <v>703</v>
      </c>
      <c r="C42" s="19" t="s">
        <v>5849</v>
      </c>
      <c r="D42" s="19" t="s">
        <v>5850</v>
      </c>
      <c r="E42" s="28" t="s">
        <v>1223</v>
      </c>
      <c r="F42" s="6" t="s">
        <v>608</v>
      </c>
      <c r="G42" s="222" t="s">
        <v>5748</v>
      </c>
      <c r="H42" s="6" t="s">
        <v>5851</v>
      </c>
      <c r="I42" s="222" t="s">
        <v>5750</v>
      </c>
      <c r="J42" s="222" t="s">
        <v>639</v>
      </c>
    </row>
    <row r="43" customFormat="false" ht="29.25" hidden="false" customHeight="true" outlineLevel="0" collapsed="false">
      <c r="A43" s="28" t="s">
        <v>3779</v>
      </c>
      <c r="B43" s="28" t="s">
        <v>703</v>
      </c>
      <c r="C43" s="6" t="s">
        <v>5852</v>
      </c>
      <c r="D43" s="19" t="s">
        <v>5853</v>
      </c>
      <c r="E43" s="28" t="s">
        <v>5747</v>
      </c>
      <c r="F43" s="6" t="s">
        <v>608</v>
      </c>
      <c r="G43" s="222" t="s">
        <v>5748</v>
      </c>
      <c r="H43" s="6" t="s">
        <v>608</v>
      </c>
      <c r="I43" s="222" t="s">
        <v>5750</v>
      </c>
      <c r="J43" s="222" t="s">
        <v>639</v>
      </c>
    </row>
    <row r="44" customFormat="false" ht="15" hidden="false" customHeight="true" outlineLevel="0" collapsed="false">
      <c r="A44" s="28" t="s">
        <v>5854</v>
      </c>
      <c r="B44" s="28" t="s">
        <v>703</v>
      </c>
      <c r="C44" s="19" t="s">
        <v>5855</v>
      </c>
      <c r="D44" s="19" t="s">
        <v>5856</v>
      </c>
      <c r="E44" s="28" t="s">
        <v>5747</v>
      </c>
      <c r="F44" s="6" t="s">
        <v>608</v>
      </c>
      <c r="G44" s="222" t="s">
        <v>5748</v>
      </c>
      <c r="H44" s="6" t="s">
        <v>608</v>
      </c>
      <c r="I44" s="222" t="s">
        <v>5750</v>
      </c>
      <c r="J44" s="222" t="s">
        <v>639</v>
      </c>
    </row>
    <row r="45" customFormat="false" ht="29.25" hidden="false" customHeight="true" outlineLevel="0" collapsed="false">
      <c r="A45" s="28" t="s">
        <v>5857</v>
      </c>
      <c r="B45" s="28" t="s">
        <v>703</v>
      </c>
      <c r="C45" s="19" t="s">
        <v>5858</v>
      </c>
      <c r="D45" s="19" t="s">
        <v>5859</v>
      </c>
      <c r="E45" s="28" t="s">
        <v>5747</v>
      </c>
      <c r="F45" s="6" t="s">
        <v>608</v>
      </c>
      <c r="G45" s="222" t="s">
        <v>5748</v>
      </c>
      <c r="H45" s="6" t="s">
        <v>608</v>
      </c>
      <c r="I45" s="222" t="s">
        <v>5750</v>
      </c>
      <c r="J45" s="222" t="s">
        <v>639</v>
      </c>
    </row>
    <row r="46" customFormat="false" ht="26.25" hidden="false" customHeight="true" outlineLevel="0" collapsed="false">
      <c r="A46" s="28" t="s">
        <v>4972</v>
      </c>
      <c r="B46" s="28" t="s">
        <v>703</v>
      </c>
      <c r="C46" s="19" t="s">
        <v>5860</v>
      </c>
      <c r="D46" s="19" t="s">
        <v>5861</v>
      </c>
      <c r="E46" s="28" t="s">
        <v>5747</v>
      </c>
      <c r="F46" s="6" t="s">
        <v>608</v>
      </c>
      <c r="G46" s="222" t="s">
        <v>5748</v>
      </c>
      <c r="H46" s="6" t="s">
        <v>608</v>
      </c>
      <c r="I46" s="222" t="s">
        <v>5750</v>
      </c>
      <c r="J46" s="222" t="s">
        <v>639</v>
      </c>
    </row>
    <row r="47" customFormat="false" ht="29.25" hidden="false" customHeight="true" outlineLevel="0" collapsed="false">
      <c r="A47" s="28" t="s">
        <v>4456</v>
      </c>
      <c r="B47" s="28" t="s">
        <v>703</v>
      </c>
      <c r="C47" s="19" t="s">
        <v>5862</v>
      </c>
      <c r="D47" s="19" t="s">
        <v>5863</v>
      </c>
      <c r="E47" s="28" t="s">
        <v>5864</v>
      </c>
      <c r="F47" s="19" t="s">
        <v>5865</v>
      </c>
      <c r="G47" s="222" t="s">
        <v>5791</v>
      </c>
      <c r="H47" s="6" t="s">
        <v>5866</v>
      </c>
      <c r="I47" s="222" t="s">
        <v>5750</v>
      </c>
      <c r="J47" s="222" t="s">
        <v>639</v>
      </c>
    </row>
    <row r="48" customFormat="false" ht="15" hidden="false" customHeight="true" outlineLevel="0" collapsed="false">
      <c r="A48" s="28" t="s">
        <v>4933</v>
      </c>
      <c r="B48" s="28" t="s">
        <v>703</v>
      </c>
      <c r="C48" s="19" t="s">
        <v>5867</v>
      </c>
      <c r="D48" s="19" t="s">
        <v>5868</v>
      </c>
      <c r="E48" s="28" t="s">
        <v>5747</v>
      </c>
      <c r="F48" s="6" t="s">
        <v>608</v>
      </c>
      <c r="G48" s="222" t="s">
        <v>5748</v>
      </c>
      <c r="H48" s="6" t="s">
        <v>608</v>
      </c>
      <c r="I48" s="222" t="s">
        <v>5750</v>
      </c>
      <c r="J48" s="222" t="s">
        <v>639</v>
      </c>
    </row>
    <row r="49" customFormat="false" ht="15" hidden="false" customHeight="true" outlineLevel="0" collapsed="false">
      <c r="A49" s="28" t="s">
        <v>5021</v>
      </c>
      <c r="B49" s="28" t="s">
        <v>703</v>
      </c>
      <c r="C49" s="19" t="s">
        <v>5869</v>
      </c>
      <c r="D49" s="19" t="s">
        <v>5870</v>
      </c>
      <c r="E49" s="28" t="s">
        <v>5747</v>
      </c>
      <c r="F49" s="19" t="s">
        <v>5871</v>
      </c>
      <c r="G49" s="222" t="s">
        <v>5748</v>
      </c>
      <c r="H49" s="6" t="s">
        <v>608</v>
      </c>
      <c r="I49" s="222" t="s">
        <v>5750</v>
      </c>
      <c r="J49" s="222" t="s">
        <v>639</v>
      </c>
    </row>
    <row r="50" customFormat="false" ht="15" hidden="false" customHeight="true" outlineLevel="0" collapsed="false">
      <c r="A50" s="28" t="s">
        <v>5872</v>
      </c>
      <c r="B50" s="28" t="s">
        <v>703</v>
      </c>
      <c r="C50" s="19" t="s">
        <v>5873</v>
      </c>
      <c r="D50" s="19" t="s">
        <v>5874</v>
      </c>
      <c r="E50" s="28" t="s">
        <v>5747</v>
      </c>
      <c r="F50" s="6" t="s">
        <v>608</v>
      </c>
      <c r="G50" s="222" t="s">
        <v>5748</v>
      </c>
      <c r="H50" s="6" t="s">
        <v>608</v>
      </c>
      <c r="I50" s="222" t="s">
        <v>5750</v>
      </c>
      <c r="J50" s="222" t="s">
        <v>639</v>
      </c>
    </row>
    <row r="51" customFormat="false" ht="43.5" hidden="false" customHeight="true" outlineLevel="0" collapsed="false">
      <c r="A51" s="28" t="s">
        <v>4557</v>
      </c>
      <c r="B51" s="28" t="s">
        <v>5875</v>
      </c>
      <c r="C51" s="6" t="s">
        <v>5876</v>
      </c>
      <c r="D51" s="19" t="s">
        <v>5877</v>
      </c>
      <c r="E51" s="28" t="s">
        <v>1223</v>
      </c>
      <c r="F51" s="19" t="s">
        <v>5878</v>
      </c>
      <c r="G51" s="222" t="s">
        <v>5748</v>
      </c>
      <c r="H51" s="6" t="s">
        <v>5879</v>
      </c>
      <c r="I51" s="222" t="s">
        <v>5750</v>
      </c>
      <c r="J51" s="222" t="s">
        <v>639</v>
      </c>
    </row>
    <row r="52" customFormat="false" ht="29.25" hidden="false" customHeight="true" outlineLevel="0" collapsed="false">
      <c r="A52" s="28" t="s">
        <v>5880</v>
      </c>
      <c r="B52" s="28" t="s">
        <v>5875</v>
      </c>
      <c r="C52" s="19" t="s">
        <v>5881</v>
      </c>
      <c r="D52" s="6" t="s">
        <v>5882</v>
      </c>
      <c r="E52" s="28" t="s">
        <v>5747</v>
      </c>
      <c r="F52" s="19" t="s">
        <v>5883</v>
      </c>
      <c r="G52" s="222" t="s">
        <v>5748</v>
      </c>
      <c r="H52" s="6" t="s">
        <v>608</v>
      </c>
      <c r="I52" s="222" t="s">
        <v>5750</v>
      </c>
      <c r="J52" s="222" t="s">
        <v>639</v>
      </c>
    </row>
    <row r="53" customFormat="false" ht="29.25" hidden="false" customHeight="true" outlineLevel="0" collapsed="false">
      <c r="A53" s="28" t="s">
        <v>4561</v>
      </c>
      <c r="B53" s="28" t="s">
        <v>5875</v>
      </c>
      <c r="C53" s="19" t="s">
        <v>5884</v>
      </c>
      <c r="D53" s="19" t="s">
        <v>5885</v>
      </c>
      <c r="E53" s="28" t="s">
        <v>5747</v>
      </c>
      <c r="F53" s="19" t="s">
        <v>5886</v>
      </c>
      <c r="G53" s="222" t="s">
        <v>5748</v>
      </c>
      <c r="H53" s="6" t="s">
        <v>5887</v>
      </c>
      <c r="I53" s="222" t="s">
        <v>5750</v>
      </c>
      <c r="J53" s="222" t="s">
        <v>639</v>
      </c>
    </row>
    <row r="54" customFormat="false" ht="29.25" hidden="false" customHeight="true" outlineLevel="0" collapsed="false">
      <c r="A54" s="28" t="s">
        <v>5888</v>
      </c>
      <c r="B54" s="28" t="s">
        <v>5875</v>
      </c>
      <c r="C54" s="6" t="s">
        <v>5889</v>
      </c>
      <c r="D54" s="19" t="s">
        <v>5890</v>
      </c>
      <c r="E54" s="28" t="s">
        <v>5747</v>
      </c>
      <c r="F54" s="6" t="s">
        <v>608</v>
      </c>
      <c r="G54" s="222" t="s">
        <v>5748</v>
      </c>
      <c r="H54" s="6" t="s">
        <v>608</v>
      </c>
      <c r="I54" s="222" t="s">
        <v>5750</v>
      </c>
      <c r="J54" s="222" t="s">
        <v>639</v>
      </c>
    </row>
    <row r="55" customFormat="false" ht="15" hidden="false" customHeight="true" outlineLevel="0" collapsed="false">
      <c r="A55" s="28" t="s">
        <v>5891</v>
      </c>
      <c r="B55" s="28" t="s">
        <v>5875</v>
      </c>
      <c r="C55" s="19" t="s">
        <v>5892</v>
      </c>
      <c r="D55" s="19" t="s">
        <v>5893</v>
      </c>
      <c r="E55" s="28" t="s">
        <v>5747</v>
      </c>
      <c r="F55" s="6" t="s">
        <v>608</v>
      </c>
      <c r="G55" s="222" t="s">
        <v>5748</v>
      </c>
      <c r="H55" s="6" t="s">
        <v>608</v>
      </c>
      <c r="I55" s="222" t="s">
        <v>5750</v>
      </c>
      <c r="J55" s="222" t="s">
        <v>639</v>
      </c>
    </row>
    <row r="56" customFormat="false" ht="15" hidden="false" customHeight="true" outlineLevel="0" collapsed="false">
      <c r="A56" s="28" t="s">
        <v>5894</v>
      </c>
      <c r="B56" s="28" t="s">
        <v>5875</v>
      </c>
      <c r="C56" s="19" t="s">
        <v>5895</v>
      </c>
      <c r="D56" s="19" t="s">
        <v>5896</v>
      </c>
      <c r="E56" s="28" t="s">
        <v>5747</v>
      </c>
      <c r="F56" s="6" t="s">
        <v>608</v>
      </c>
      <c r="G56" s="222" t="s">
        <v>5748</v>
      </c>
      <c r="H56" s="6" t="s">
        <v>608</v>
      </c>
      <c r="I56" s="222" t="s">
        <v>5750</v>
      </c>
      <c r="J56" s="222" t="s">
        <v>639</v>
      </c>
    </row>
    <row r="57" customFormat="false" ht="29.25" hidden="false" customHeight="true" outlineLevel="0" collapsed="false">
      <c r="A57" s="28" t="s">
        <v>5897</v>
      </c>
      <c r="B57" s="28" t="s">
        <v>5875</v>
      </c>
      <c r="C57" s="6" t="s">
        <v>5898</v>
      </c>
      <c r="D57" s="19" t="s">
        <v>5899</v>
      </c>
      <c r="E57" s="28" t="s">
        <v>5747</v>
      </c>
      <c r="F57" s="6" t="s">
        <v>608</v>
      </c>
      <c r="G57" s="222" t="s">
        <v>5748</v>
      </c>
      <c r="H57" s="6" t="s">
        <v>608</v>
      </c>
      <c r="I57" s="222" t="s">
        <v>5750</v>
      </c>
      <c r="J57" s="222" t="s">
        <v>639</v>
      </c>
    </row>
    <row r="58" customFormat="false" ht="29.25" hidden="false" customHeight="true" outlineLevel="0" collapsed="false">
      <c r="A58" s="28" t="s">
        <v>5900</v>
      </c>
      <c r="B58" s="28" t="s">
        <v>5875</v>
      </c>
      <c r="C58" s="19" t="s">
        <v>5901</v>
      </c>
      <c r="D58" s="6" t="s">
        <v>5902</v>
      </c>
      <c r="E58" s="28" t="s">
        <v>1223</v>
      </c>
      <c r="F58" s="6" t="s">
        <v>608</v>
      </c>
      <c r="G58" s="222" t="s">
        <v>5748</v>
      </c>
      <c r="H58" s="6" t="s">
        <v>5903</v>
      </c>
      <c r="I58" s="222" t="s">
        <v>5750</v>
      </c>
      <c r="J58" s="222" t="s">
        <v>639</v>
      </c>
    </row>
    <row r="59" customFormat="false" ht="43.5" hidden="false" customHeight="true" outlineLevel="0" collapsed="false">
      <c r="A59" s="28" t="s">
        <v>655</v>
      </c>
      <c r="B59" s="28" t="s">
        <v>24</v>
      </c>
      <c r="C59" s="19" t="s">
        <v>5904</v>
      </c>
      <c r="D59" s="19" t="s">
        <v>5905</v>
      </c>
      <c r="E59" s="28" t="s">
        <v>1223</v>
      </c>
      <c r="F59" s="6" t="s">
        <v>608</v>
      </c>
      <c r="G59" s="222" t="s">
        <v>5748</v>
      </c>
      <c r="H59" s="6" t="s">
        <v>608</v>
      </c>
      <c r="I59" s="222" t="s">
        <v>5750</v>
      </c>
      <c r="J59" s="222" t="s">
        <v>639</v>
      </c>
    </row>
    <row r="60" customFormat="false" ht="43.5" hidden="false" customHeight="true" outlineLevel="0" collapsed="false">
      <c r="A60" s="28" t="s">
        <v>5906</v>
      </c>
      <c r="B60" s="222" t="s">
        <v>5907</v>
      </c>
      <c r="C60" s="6" t="s">
        <v>5908</v>
      </c>
      <c r="D60" s="6" t="s">
        <v>5909</v>
      </c>
      <c r="E60" s="28" t="s">
        <v>5864</v>
      </c>
      <c r="F60" s="6" t="s">
        <v>608</v>
      </c>
      <c r="G60" s="222" t="s">
        <v>5748</v>
      </c>
      <c r="H60" s="6" t="s">
        <v>608</v>
      </c>
      <c r="I60" s="222" t="s">
        <v>5750</v>
      </c>
      <c r="J60" s="222" t="s">
        <v>639</v>
      </c>
    </row>
    <row r="61" customFormat="false" ht="57.75" hidden="false" customHeight="true" outlineLevel="0" collapsed="false">
      <c r="A61" s="28" t="s">
        <v>5910</v>
      </c>
      <c r="B61" s="222" t="s">
        <v>5907</v>
      </c>
      <c r="C61" s="19" t="s">
        <v>5911</v>
      </c>
      <c r="D61" s="19" t="s">
        <v>5912</v>
      </c>
      <c r="E61" s="28" t="s">
        <v>5747</v>
      </c>
      <c r="F61" s="6" t="s">
        <v>608</v>
      </c>
      <c r="G61" s="222" t="s">
        <v>5748</v>
      </c>
      <c r="H61" s="6" t="s">
        <v>608</v>
      </c>
      <c r="I61" s="222" t="s">
        <v>5750</v>
      </c>
      <c r="J61" s="222" t="s">
        <v>639</v>
      </c>
    </row>
    <row r="62" customFormat="false" ht="29.25" hidden="false" customHeight="true" outlineLevel="0" collapsed="false">
      <c r="A62" s="28" t="s">
        <v>5913</v>
      </c>
      <c r="B62" s="222" t="s">
        <v>5907</v>
      </c>
      <c r="C62" s="19" t="s">
        <v>5914</v>
      </c>
      <c r="D62" s="6" t="s">
        <v>5915</v>
      </c>
      <c r="E62" s="28" t="s">
        <v>5747</v>
      </c>
      <c r="F62" s="6" t="s">
        <v>608</v>
      </c>
      <c r="G62" s="222" t="s">
        <v>5748</v>
      </c>
      <c r="H62" s="6" t="s">
        <v>608</v>
      </c>
      <c r="I62" s="222" t="s">
        <v>5750</v>
      </c>
      <c r="J62" s="222" t="s">
        <v>639</v>
      </c>
    </row>
    <row r="63" customFormat="false" ht="15" hidden="false" customHeight="true" outlineLevel="0" collapsed="false">
      <c r="A63" s="28" t="s">
        <v>5916</v>
      </c>
      <c r="B63" s="222" t="s">
        <v>5907</v>
      </c>
      <c r="C63" s="19" t="s">
        <v>5917</v>
      </c>
      <c r="D63" s="19" t="s">
        <v>5918</v>
      </c>
      <c r="E63" s="28" t="s">
        <v>5747</v>
      </c>
      <c r="F63" s="6" t="s">
        <v>608</v>
      </c>
      <c r="G63" s="222" t="s">
        <v>5748</v>
      </c>
      <c r="H63" s="6" t="s">
        <v>608</v>
      </c>
      <c r="I63" s="222" t="s">
        <v>5750</v>
      </c>
      <c r="J63" s="222" t="s">
        <v>639</v>
      </c>
    </row>
    <row r="64" customFormat="false" ht="29.25" hidden="false" customHeight="true" outlineLevel="0" collapsed="false">
      <c r="A64" s="28" t="s">
        <v>4504</v>
      </c>
      <c r="B64" s="222" t="s">
        <v>5907</v>
      </c>
      <c r="C64" s="19" t="s">
        <v>5919</v>
      </c>
      <c r="D64" s="19" t="s">
        <v>5920</v>
      </c>
      <c r="E64" s="28" t="s">
        <v>5747</v>
      </c>
      <c r="F64" s="19" t="s">
        <v>5921</v>
      </c>
      <c r="G64" s="222" t="s">
        <v>5748</v>
      </c>
      <c r="H64" s="6" t="s">
        <v>608</v>
      </c>
      <c r="I64" s="222" t="s">
        <v>5750</v>
      </c>
      <c r="J64" s="222" t="s">
        <v>639</v>
      </c>
    </row>
    <row r="65" customFormat="false" ht="29.25" hidden="false" customHeight="true" outlineLevel="0" collapsed="false">
      <c r="A65" s="28" t="s">
        <v>4008</v>
      </c>
      <c r="B65" s="222" t="s">
        <v>5907</v>
      </c>
      <c r="C65" s="6" t="s">
        <v>5922</v>
      </c>
      <c r="D65" s="6" t="s">
        <v>5923</v>
      </c>
      <c r="E65" s="28" t="s">
        <v>5747</v>
      </c>
      <c r="F65" s="6" t="s">
        <v>608</v>
      </c>
      <c r="G65" s="222" t="s">
        <v>5748</v>
      </c>
      <c r="H65" s="6" t="s">
        <v>608</v>
      </c>
      <c r="I65" s="222" t="s">
        <v>5750</v>
      </c>
      <c r="J65" s="222" t="s">
        <v>639</v>
      </c>
    </row>
    <row r="66" customFormat="false" ht="57.75" hidden="false" customHeight="true" outlineLevel="0" collapsed="false">
      <c r="A66" s="28" t="s">
        <v>4520</v>
      </c>
      <c r="B66" s="222" t="s">
        <v>5907</v>
      </c>
      <c r="C66" s="6" t="s">
        <v>5924</v>
      </c>
      <c r="D66" s="19" t="s">
        <v>5925</v>
      </c>
      <c r="E66" s="28" t="s">
        <v>5747</v>
      </c>
      <c r="F66" s="6" t="s">
        <v>608</v>
      </c>
      <c r="G66" s="222" t="s">
        <v>5748</v>
      </c>
      <c r="H66" s="6" t="s">
        <v>608</v>
      </c>
      <c r="I66" s="222" t="s">
        <v>5750</v>
      </c>
      <c r="J66" s="222" t="s">
        <v>639</v>
      </c>
    </row>
    <row r="67" customFormat="false" ht="43.5" hidden="false" customHeight="true" outlineLevel="0" collapsed="false">
      <c r="A67" s="28" t="s">
        <v>4022</v>
      </c>
      <c r="B67" s="222" t="s">
        <v>5907</v>
      </c>
      <c r="C67" s="19" t="s">
        <v>5926</v>
      </c>
      <c r="D67" s="19" t="s">
        <v>5927</v>
      </c>
      <c r="E67" s="28" t="s">
        <v>5747</v>
      </c>
      <c r="F67" s="6" t="s">
        <v>608</v>
      </c>
      <c r="G67" s="222" t="s">
        <v>5748</v>
      </c>
      <c r="H67" s="6" t="s">
        <v>608</v>
      </c>
      <c r="I67" s="222" t="s">
        <v>5750</v>
      </c>
      <c r="J67" s="222" t="s">
        <v>639</v>
      </c>
    </row>
    <row r="68" customFormat="false" ht="57.75" hidden="false" customHeight="true" outlineLevel="0" collapsed="false">
      <c r="A68" s="28" t="s">
        <v>4040</v>
      </c>
      <c r="B68" s="222" t="s">
        <v>5907</v>
      </c>
      <c r="C68" s="19" t="s">
        <v>5928</v>
      </c>
      <c r="D68" s="19" t="s">
        <v>5929</v>
      </c>
      <c r="E68" s="28" t="s">
        <v>5747</v>
      </c>
      <c r="F68" s="19" t="s">
        <v>5930</v>
      </c>
      <c r="G68" s="222" t="s">
        <v>5748</v>
      </c>
      <c r="H68" s="6" t="s">
        <v>608</v>
      </c>
      <c r="I68" s="222" t="s">
        <v>5750</v>
      </c>
      <c r="J68" s="222" t="s">
        <v>639</v>
      </c>
    </row>
    <row r="69" customFormat="false" ht="29.25" hidden="false" customHeight="true" outlineLevel="0" collapsed="false">
      <c r="A69" s="28" t="s">
        <v>4053</v>
      </c>
      <c r="B69" s="222" t="s">
        <v>5907</v>
      </c>
      <c r="C69" s="19" t="s">
        <v>5931</v>
      </c>
      <c r="D69" s="19" t="s">
        <v>5932</v>
      </c>
      <c r="E69" s="28" t="s">
        <v>5747</v>
      </c>
      <c r="F69" s="6" t="s">
        <v>608</v>
      </c>
      <c r="G69" s="222" t="s">
        <v>5748</v>
      </c>
      <c r="H69" s="6" t="s">
        <v>608</v>
      </c>
      <c r="I69" s="222" t="s">
        <v>5750</v>
      </c>
      <c r="J69" s="222" t="s">
        <v>639</v>
      </c>
    </row>
    <row r="70" customFormat="false" ht="15" hidden="false" customHeight="true" outlineLevel="0" collapsed="false">
      <c r="A70" s="28" t="s">
        <v>4073</v>
      </c>
      <c r="B70" s="222" t="s">
        <v>5907</v>
      </c>
      <c r="C70" s="19" t="s">
        <v>5933</v>
      </c>
      <c r="D70" s="19" t="s">
        <v>5934</v>
      </c>
      <c r="E70" s="28" t="s">
        <v>5747</v>
      </c>
      <c r="F70" s="6" t="s">
        <v>608</v>
      </c>
      <c r="G70" s="222" t="s">
        <v>5748</v>
      </c>
      <c r="H70" s="6" t="s">
        <v>608</v>
      </c>
      <c r="I70" s="222" t="s">
        <v>5750</v>
      </c>
      <c r="J70" s="222" t="s">
        <v>639</v>
      </c>
    </row>
    <row r="71" customFormat="false" ht="29.25" hidden="false" customHeight="true" outlineLevel="0" collapsed="false">
      <c r="A71" s="28" t="s">
        <v>4094</v>
      </c>
      <c r="B71" s="222" t="s">
        <v>5907</v>
      </c>
      <c r="C71" s="19" t="s">
        <v>5935</v>
      </c>
      <c r="D71" s="19" t="s">
        <v>5936</v>
      </c>
      <c r="E71" s="28" t="s">
        <v>5864</v>
      </c>
      <c r="F71" s="6" t="s">
        <v>608</v>
      </c>
      <c r="G71" s="222" t="s">
        <v>5748</v>
      </c>
      <c r="H71" s="6" t="s">
        <v>608</v>
      </c>
      <c r="I71" s="222" t="s">
        <v>5750</v>
      </c>
      <c r="J71" s="222" t="s">
        <v>639</v>
      </c>
    </row>
    <row r="72" customFormat="false" ht="129" hidden="false" customHeight="true" outlineLevel="0" collapsed="false">
      <c r="A72" s="28" t="s">
        <v>4571</v>
      </c>
      <c r="B72" s="222" t="s">
        <v>5907</v>
      </c>
      <c r="C72" s="6" t="s">
        <v>5937</v>
      </c>
      <c r="D72" s="6" t="s">
        <v>5938</v>
      </c>
      <c r="E72" s="28" t="s">
        <v>5864</v>
      </c>
      <c r="F72" s="19" t="s">
        <v>5939</v>
      </c>
      <c r="G72" s="222" t="s">
        <v>5748</v>
      </c>
      <c r="H72" s="6" t="s">
        <v>608</v>
      </c>
      <c r="I72" s="222" t="s">
        <v>5750</v>
      </c>
      <c r="J72" s="222" t="s">
        <v>639</v>
      </c>
    </row>
    <row r="73" customFormat="false" ht="57.75" hidden="false" customHeight="true" outlineLevel="0" collapsed="false">
      <c r="A73" s="28" t="s">
        <v>4109</v>
      </c>
      <c r="B73" s="222" t="s">
        <v>5907</v>
      </c>
      <c r="C73" s="19" t="s">
        <v>5940</v>
      </c>
      <c r="D73" s="19" t="s">
        <v>5941</v>
      </c>
      <c r="E73" s="28" t="s">
        <v>5864</v>
      </c>
      <c r="F73" s="19" t="s">
        <v>5942</v>
      </c>
      <c r="G73" s="222" t="s">
        <v>5748</v>
      </c>
      <c r="H73" s="6" t="s">
        <v>608</v>
      </c>
      <c r="I73" s="222" t="s">
        <v>5750</v>
      </c>
      <c r="J73" s="222" t="s">
        <v>639</v>
      </c>
    </row>
    <row r="74" customFormat="false" ht="29.25" hidden="false" customHeight="true" outlineLevel="0" collapsed="false">
      <c r="A74" s="28" t="s">
        <v>3783</v>
      </c>
      <c r="B74" s="28" t="s">
        <v>5875</v>
      </c>
      <c r="C74" s="19" t="s">
        <v>5943</v>
      </c>
      <c r="D74" s="6" t="s">
        <v>5944</v>
      </c>
      <c r="E74" s="28" t="s">
        <v>5864</v>
      </c>
      <c r="F74" s="6" t="s">
        <v>5945</v>
      </c>
      <c r="G74" s="222" t="s">
        <v>5748</v>
      </c>
      <c r="H74" s="6" t="s">
        <v>5946</v>
      </c>
      <c r="I74" s="222" t="s">
        <v>5947</v>
      </c>
      <c r="J74" s="222" t="s">
        <v>639</v>
      </c>
    </row>
    <row r="75" customFormat="false" ht="15" hidden="false" customHeight="true" outlineLevel="0" collapsed="false">
      <c r="A75" s="28" t="s">
        <v>5948</v>
      </c>
      <c r="B75" s="28" t="s">
        <v>5949</v>
      </c>
      <c r="C75" s="19" t="s">
        <v>5950</v>
      </c>
      <c r="D75" s="19" t="s">
        <v>5951</v>
      </c>
      <c r="E75" s="28" t="s">
        <v>5864</v>
      </c>
      <c r="F75" s="19" t="s">
        <v>5952</v>
      </c>
      <c r="G75" s="196" t="s">
        <v>5953</v>
      </c>
      <c r="H75" s="6" t="s">
        <v>5954</v>
      </c>
      <c r="I75" s="222" t="s">
        <v>5955</v>
      </c>
      <c r="J75" s="222" t="s">
        <v>639</v>
      </c>
    </row>
    <row r="76" customFormat="false" ht="15" hidden="false" customHeight="true" outlineLevel="0" collapsed="false">
      <c r="A76" s="28" t="s">
        <v>5956</v>
      </c>
      <c r="B76" s="28" t="s">
        <v>5949</v>
      </c>
      <c r="C76" s="19" t="s">
        <v>5957</v>
      </c>
      <c r="D76" s="19" t="s">
        <v>5958</v>
      </c>
      <c r="E76" s="28" t="s">
        <v>5864</v>
      </c>
      <c r="F76" s="19" t="s">
        <v>5952</v>
      </c>
      <c r="G76" s="196" t="s">
        <v>5953</v>
      </c>
      <c r="H76" s="6" t="s">
        <v>5954</v>
      </c>
      <c r="I76" s="222" t="s">
        <v>5955</v>
      </c>
      <c r="J76" s="222" t="s">
        <v>639</v>
      </c>
    </row>
    <row r="77" customFormat="false" ht="15" hidden="false" customHeight="true" outlineLevel="0" collapsed="false">
      <c r="A77" s="28" t="s">
        <v>5959</v>
      </c>
      <c r="B77" s="28" t="s">
        <v>5949</v>
      </c>
      <c r="C77" s="6" t="s">
        <v>5960</v>
      </c>
      <c r="D77" s="19" t="s">
        <v>5961</v>
      </c>
      <c r="E77" s="28" t="s">
        <v>5864</v>
      </c>
      <c r="F77" s="19" t="s">
        <v>5952</v>
      </c>
      <c r="G77" s="196" t="s">
        <v>5953</v>
      </c>
      <c r="H77" s="6" t="s">
        <v>5954</v>
      </c>
      <c r="I77" s="222" t="s">
        <v>5955</v>
      </c>
      <c r="J77" s="222" t="s">
        <v>639</v>
      </c>
    </row>
    <row r="78" customFormat="false" ht="15" hidden="false" customHeight="true" outlineLevel="0" collapsed="false">
      <c r="A78" s="28" t="s">
        <v>5962</v>
      </c>
      <c r="B78" s="28" t="s">
        <v>5949</v>
      </c>
      <c r="C78" s="19" t="s">
        <v>5963</v>
      </c>
      <c r="D78" s="19" t="s">
        <v>5964</v>
      </c>
      <c r="E78" s="28" t="s">
        <v>5864</v>
      </c>
      <c r="F78" s="19" t="s">
        <v>5952</v>
      </c>
      <c r="G78" s="196" t="s">
        <v>5953</v>
      </c>
      <c r="H78" s="6" t="s">
        <v>5954</v>
      </c>
      <c r="I78" s="222" t="s">
        <v>5955</v>
      </c>
      <c r="J78" s="222" t="s">
        <v>639</v>
      </c>
    </row>
    <row r="79" customFormat="false" ht="29.25" hidden="false" customHeight="true" outlineLevel="0" collapsed="false">
      <c r="A79" s="28" t="s">
        <v>5965</v>
      </c>
      <c r="B79" s="28" t="s">
        <v>5949</v>
      </c>
      <c r="C79" s="6" t="s">
        <v>5966</v>
      </c>
      <c r="D79" s="19" t="s">
        <v>5967</v>
      </c>
      <c r="E79" s="28" t="s">
        <v>5864</v>
      </c>
      <c r="F79" s="19" t="s">
        <v>5952</v>
      </c>
      <c r="G79" s="196" t="s">
        <v>5953</v>
      </c>
      <c r="H79" s="6" t="s">
        <v>5954</v>
      </c>
      <c r="I79" s="222" t="s">
        <v>5955</v>
      </c>
      <c r="J79" s="222" t="s">
        <v>639</v>
      </c>
    </row>
    <row r="80" customFormat="false" ht="15" hidden="false" customHeight="true" outlineLevel="0" collapsed="false">
      <c r="A80" s="28" t="s">
        <v>5968</v>
      </c>
      <c r="B80" s="28" t="s">
        <v>5949</v>
      </c>
      <c r="C80" s="19" t="s">
        <v>5969</v>
      </c>
      <c r="D80" s="19" t="s">
        <v>5970</v>
      </c>
      <c r="E80" s="28" t="s">
        <v>5864</v>
      </c>
      <c r="F80" s="19" t="s">
        <v>5952</v>
      </c>
      <c r="G80" s="196" t="s">
        <v>5953</v>
      </c>
      <c r="H80" s="6" t="s">
        <v>5954</v>
      </c>
      <c r="I80" s="222" t="s">
        <v>5955</v>
      </c>
      <c r="J80" s="222" t="s">
        <v>639</v>
      </c>
    </row>
    <row r="81" customFormat="false" ht="15" hidden="false" customHeight="true" outlineLevel="0" collapsed="false">
      <c r="A81" s="28" t="s">
        <v>5971</v>
      </c>
      <c r="B81" s="28" t="s">
        <v>5949</v>
      </c>
      <c r="C81" s="19" t="s">
        <v>5972</v>
      </c>
      <c r="D81" s="19" t="s">
        <v>5973</v>
      </c>
      <c r="E81" s="28" t="s">
        <v>5864</v>
      </c>
      <c r="F81" s="19" t="s">
        <v>5952</v>
      </c>
      <c r="G81" s="196" t="s">
        <v>5953</v>
      </c>
      <c r="H81" s="6" t="s">
        <v>5954</v>
      </c>
      <c r="I81" s="222" t="s">
        <v>5955</v>
      </c>
      <c r="J81" s="222" t="s">
        <v>639</v>
      </c>
    </row>
    <row r="82" customFormat="false" ht="15" hidden="false" customHeight="true" outlineLevel="0" collapsed="false">
      <c r="A82" s="28" t="s">
        <v>5407</v>
      </c>
      <c r="B82" s="28" t="s">
        <v>5949</v>
      </c>
      <c r="C82" s="19" t="s">
        <v>5974</v>
      </c>
      <c r="D82" s="19" t="s">
        <v>5975</v>
      </c>
      <c r="E82" s="28" t="s">
        <v>5864</v>
      </c>
      <c r="F82" s="19" t="s">
        <v>5952</v>
      </c>
      <c r="G82" s="196" t="s">
        <v>5953</v>
      </c>
      <c r="H82" s="6" t="s">
        <v>5954</v>
      </c>
      <c r="I82" s="222" t="s">
        <v>5955</v>
      </c>
      <c r="J82" s="222" t="s">
        <v>639</v>
      </c>
    </row>
    <row r="83" customFormat="false" ht="15" hidden="false" customHeight="true" outlineLevel="0" collapsed="false">
      <c r="A83" s="28" t="s">
        <v>5976</v>
      </c>
      <c r="B83" s="222" t="s">
        <v>5977</v>
      </c>
      <c r="C83" s="19" t="s">
        <v>5978</v>
      </c>
      <c r="D83" s="19" t="s">
        <v>5979</v>
      </c>
      <c r="E83" s="28" t="s">
        <v>5864</v>
      </c>
      <c r="F83" s="19" t="s">
        <v>5980</v>
      </c>
      <c r="G83" s="222" t="s">
        <v>5748</v>
      </c>
      <c r="H83" s="6" t="s">
        <v>608</v>
      </c>
      <c r="I83" s="222" t="s">
        <v>5981</v>
      </c>
      <c r="J83" s="222" t="s">
        <v>639</v>
      </c>
    </row>
    <row r="84" customFormat="false" ht="43.5" hidden="false" customHeight="true" outlineLevel="0" collapsed="false">
      <c r="A84" s="28" t="s">
        <v>5982</v>
      </c>
      <c r="B84" s="222" t="s">
        <v>5977</v>
      </c>
      <c r="C84" s="6" t="s">
        <v>5983</v>
      </c>
      <c r="D84" s="19" t="s">
        <v>5984</v>
      </c>
      <c r="E84" s="28" t="s">
        <v>5864</v>
      </c>
      <c r="F84" s="19" t="s">
        <v>5985</v>
      </c>
      <c r="G84" s="222" t="s">
        <v>5748</v>
      </c>
      <c r="H84" s="6" t="s">
        <v>5986</v>
      </c>
      <c r="I84" s="222" t="s">
        <v>5981</v>
      </c>
      <c r="J84" s="222" t="s">
        <v>639</v>
      </c>
    </row>
    <row r="85" customFormat="false" ht="26.25" hidden="false" customHeight="true" outlineLevel="0" collapsed="false">
      <c r="A85" s="28" t="s">
        <v>5987</v>
      </c>
      <c r="B85" s="222" t="s">
        <v>5977</v>
      </c>
      <c r="C85" s="6" t="s">
        <v>5988</v>
      </c>
      <c r="D85" s="6" t="s">
        <v>5989</v>
      </c>
      <c r="E85" s="28" t="s">
        <v>5864</v>
      </c>
      <c r="F85" s="19" t="s">
        <v>5985</v>
      </c>
      <c r="G85" s="222" t="s">
        <v>5748</v>
      </c>
      <c r="H85" s="6" t="s">
        <v>5990</v>
      </c>
      <c r="I85" s="222" t="s">
        <v>5981</v>
      </c>
      <c r="J85" s="222" t="s">
        <v>639</v>
      </c>
    </row>
    <row r="86" customFormat="false" ht="29.25" hidden="false" customHeight="true" outlineLevel="0" collapsed="false">
      <c r="A86" s="28" t="s">
        <v>5991</v>
      </c>
      <c r="B86" s="222" t="s">
        <v>5977</v>
      </c>
      <c r="C86" s="19" t="s">
        <v>5992</v>
      </c>
      <c r="D86" s="19" t="s">
        <v>5993</v>
      </c>
      <c r="E86" s="28" t="s">
        <v>5864</v>
      </c>
      <c r="F86" s="19" t="s">
        <v>5985</v>
      </c>
      <c r="G86" s="222" t="s">
        <v>5748</v>
      </c>
      <c r="H86" s="6" t="s">
        <v>608</v>
      </c>
      <c r="I86" s="222" t="s">
        <v>5981</v>
      </c>
      <c r="J86" s="222" t="s">
        <v>639</v>
      </c>
    </row>
    <row r="87" customFormat="false" ht="29.25" hidden="false" customHeight="true" outlineLevel="0" collapsed="false">
      <c r="A87" s="28" t="s">
        <v>5994</v>
      </c>
      <c r="B87" s="222" t="s">
        <v>5977</v>
      </c>
      <c r="C87" s="19" t="s">
        <v>5995</v>
      </c>
      <c r="D87" s="19" t="s">
        <v>5996</v>
      </c>
      <c r="E87" s="28" t="s">
        <v>5864</v>
      </c>
      <c r="F87" s="19" t="s">
        <v>5980</v>
      </c>
      <c r="G87" s="222" t="s">
        <v>5748</v>
      </c>
      <c r="H87" s="6" t="s">
        <v>5997</v>
      </c>
      <c r="I87" s="222" t="s">
        <v>5981</v>
      </c>
      <c r="J87" s="222" t="s">
        <v>639</v>
      </c>
    </row>
    <row r="88" customFormat="false" ht="29.25" hidden="false" customHeight="true" outlineLevel="0" collapsed="false">
      <c r="A88" s="28" t="s">
        <v>5198</v>
      </c>
      <c r="B88" s="222" t="s">
        <v>5977</v>
      </c>
      <c r="C88" s="6" t="s">
        <v>5998</v>
      </c>
      <c r="D88" s="6" t="s">
        <v>5999</v>
      </c>
      <c r="E88" s="28" t="s">
        <v>5864</v>
      </c>
      <c r="F88" s="19" t="s">
        <v>5985</v>
      </c>
      <c r="G88" s="222" t="s">
        <v>5748</v>
      </c>
      <c r="H88" s="6" t="s">
        <v>6000</v>
      </c>
      <c r="I88" s="222" t="s">
        <v>5981</v>
      </c>
      <c r="J88" s="222" t="s">
        <v>639</v>
      </c>
    </row>
    <row r="89" customFormat="false" ht="29.25" hidden="false" customHeight="true" outlineLevel="0" collapsed="false">
      <c r="A89" s="28" t="s">
        <v>6001</v>
      </c>
      <c r="B89" s="222" t="s">
        <v>5977</v>
      </c>
      <c r="C89" s="19" t="s">
        <v>6002</v>
      </c>
      <c r="D89" s="6" t="s">
        <v>6003</v>
      </c>
      <c r="E89" s="28" t="s">
        <v>5864</v>
      </c>
      <c r="F89" s="19" t="s">
        <v>5985</v>
      </c>
      <c r="G89" s="222" t="s">
        <v>5748</v>
      </c>
      <c r="H89" s="6" t="s">
        <v>608</v>
      </c>
      <c r="I89" s="222" t="s">
        <v>5981</v>
      </c>
      <c r="J89" s="222" t="s">
        <v>639</v>
      </c>
    </row>
    <row r="90" customFormat="false" ht="43.5" hidden="false" customHeight="true" outlineLevel="0" collapsed="false">
      <c r="A90" s="28" t="s">
        <v>6004</v>
      </c>
      <c r="B90" s="222" t="s">
        <v>5977</v>
      </c>
      <c r="C90" s="19" t="s">
        <v>6005</v>
      </c>
      <c r="D90" s="19" t="s">
        <v>6006</v>
      </c>
      <c r="E90" s="28" t="s">
        <v>5864</v>
      </c>
      <c r="F90" s="19" t="s">
        <v>6007</v>
      </c>
      <c r="G90" s="222" t="s">
        <v>5748</v>
      </c>
      <c r="H90" s="6" t="s">
        <v>608</v>
      </c>
      <c r="I90" s="222" t="s">
        <v>5981</v>
      </c>
      <c r="J90" s="222" t="s">
        <v>639</v>
      </c>
    </row>
    <row r="91" customFormat="false" ht="29.25" hidden="false" customHeight="true" outlineLevel="0" collapsed="false">
      <c r="A91" s="28" t="s">
        <v>6008</v>
      </c>
      <c r="B91" s="222" t="s">
        <v>5977</v>
      </c>
      <c r="C91" s="19" t="s">
        <v>6009</v>
      </c>
      <c r="D91" s="6" t="s">
        <v>6010</v>
      </c>
      <c r="E91" s="28" t="s">
        <v>5864</v>
      </c>
      <c r="F91" s="6" t="s">
        <v>608</v>
      </c>
      <c r="G91" s="222" t="s">
        <v>5748</v>
      </c>
      <c r="H91" s="6" t="s">
        <v>608</v>
      </c>
      <c r="I91" s="222" t="s">
        <v>5981</v>
      </c>
      <c r="J91" s="222" t="s">
        <v>639</v>
      </c>
    </row>
    <row r="92" customFormat="false" ht="15" hidden="false" customHeight="true" outlineLevel="0" collapsed="false">
      <c r="A92" s="28" t="s">
        <v>6011</v>
      </c>
      <c r="B92" s="222" t="s">
        <v>5977</v>
      </c>
      <c r="C92" s="19" t="s">
        <v>6012</v>
      </c>
      <c r="D92" s="19" t="s">
        <v>6013</v>
      </c>
      <c r="E92" s="28" t="s">
        <v>5864</v>
      </c>
      <c r="F92" s="6" t="s">
        <v>608</v>
      </c>
      <c r="G92" s="222" t="s">
        <v>5748</v>
      </c>
      <c r="H92" s="6" t="s">
        <v>608</v>
      </c>
      <c r="I92" s="222" t="s">
        <v>5981</v>
      </c>
      <c r="J92" s="222" t="s">
        <v>639</v>
      </c>
    </row>
    <row r="93" customFormat="false" ht="29.25" hidden="false" customHeight="true" outlineLevel="0" collapsed="false">
      <c r="A93" s="28" t="s">
        <v>6014</v>
      </c>
      <c r="B93" s="222" t="s">
        <v>5977</v>
      </c>
      <c r="C93" s="6" t="s">
        <v>6015</v>
      </c>
      <c r="D93" s="19" t="s">
        <v>6016</v>
      </c>
      <c r="E93" s="28" t="s">
        <v>5864</v>
      </c>
      <c r="F93" s="19" t="s">
        <v>6017</v>
      </c>
      <c r="G93" s="222" t="s">
        <v>5748</v>
      </c>
      <c r="H93" s="6" t="s">
        <v>5866</v>
      </c>
      <c r="I93" s="222" t="s">
        <v>5981</v>
      </c>
      <c r="J93" s="222" t="s">
        <v>639</v>
      </c>
    </row>
    <row r="94" customFormat="false" ht="29.25" hidden="false" customHeight="true" outlineLevel="0" collapsed="false">
      <c r="A94" s="28" t="s">
        <v>3999</v>
      </c>
      <c r="B94" s="222" t="s">
        <v>6018</v>
      </c>
      <c r="C94" s="6" t="s">
        <v>6019</v>
      </c>
      <c r="D94" s="6" t="s">
        <v>6020</v>
      </c>
      <c r="E94" s="28" t="s">
        <v>6021</v>
      </c>
      <c r="F94" s="226" t="s">
        <v>6022</v>
      </c>
      <c r="G94" s="222" t="s">
        <v>5748</v>
      </c>
      <c r="H94" s="6" t="s">
        <v>6023</v>
      </c>
      <c r="I94" s="28" t="s">
        <v>6024</v>
      </c>
      <c r="J94" s="222" t="s">
        <v>639</v>
      </c>
    </row>
    <row r="95" customFormat="false" ht="51.75" hidden="false" customHeight="true" outlineLevel="0" collapsed="false">
      <c r="A95" s="28" t="s">
        <v>6025</v>
      </c>
      <c r="B95" s="28" t="s">
        <v>5949</v>
      </c>
      <c r="C95" s="19" t="s">
        <v>6026</v>
      </c>
      <c r="D95" s="6" t="s">
        <v>6027</v>
      </c>
      <c r="E95" s="28" t="s">
        <v>6028</v>
      </c>
      <c r="F95" s="19" t="s">
        <v>6029</v>
      </c>
      <c r="G95" s="28" t="s">
        <v>6030</v>
      </c>
      <c r="H95" s="6" t="s">
        <v>6031</v>
      </c>
      <c r="I95" s="222" t="s">
        <v>6032</v>
      </c>
      <c r="J95" s="222" t="s">
        <v>639</v>
      </c>
    </row>
    <row r="96" customFormat="false" ht="26.25" hidden="false" customHeight="true" outlineLevel="0" collapsed="false">
      <c r="A96" s="28" t="s">
        <v>6033</v>
      </c>
      <c r="B96" s="28" t="s">
        <v>5949</v>
      </c>
      <c r="C96" s="19" t="s">
        <v>5442</v>
      </c>
      <c r="D96" s="19" t="s">
        <v>6034</v>
      </c>
      <c r="E96" s="28" t="s">
        <v>6028</v>
      </c>
      <c r="F96" s="19" t="s">
        <v>6035</v>
      </c>
      <c r="G96" s="28" t="s">
        <v>6030</v>
      </c>
      <c r="H96" s="6" t="s">
        <v>6036</v>
      </c>
      <c r="I96" s="222" t="s">
        <v>6032</v>
      </c>
      <c r="J96" s="222" t="s">
        <v>639</v>
      </c>
    </row>
    <row r="97" customFormat="false" ht="26.25" hidden="false" customHeight="true" outlineLevel="0" collapsed="false">
      <c r="A97" s="28" t="s">
        <v>6037</v>
      </c>
      <c r="B97" s="28" t="s">
        <v>6038</v>
      </c>
      <c r="C97" s="19" t="s">
        <v>6039</v>
      </c>
      <c r="D97" s="6" t="s">
        <v>6040</v>
      </c>
      <c r="E97" s="28" t="s">
        <v>6041</v>
      </c>
      <c r="F97" s="19" t="s">
        <v>6042</v>
      </c>
      <c r="G97" s="222" t="s">
        <v>6043</v>
      </c>
      <c r="H97" s="6" t="s">
        <v>6044</v>
      </c>
      <c r="I97" s="222" t="s">
        <v>6045</v>
      </c>
      <c r="J97" s="222" t="s">
        <v>639</v>
      </c>
    </row>
    <row r="98" customFormat="false" ht="26.25" hidden="false" customHeight="true" outlineLevel="0" collapsed="false">
      <c r="A98" s="28" t="s">
        <v>6046</v>
      </c>
      <c r="B98" s="28" t="s">
        <v>6038</v>
      </c>
      <c r="C98" s="6" t="s">
        <v>6047</v>
      </c>
      <c r="D98" s="6" t="s">
        <v>6048</v>
      </c>
      <c r="E98" s="28" t="s">
        <v>6041</v>
      </c>
      <c r="F98" s="19" t="s">
        <v>6042</v>
      </c>
      <c r="G98" s="222" t="s">
        <v>6043</v>
      </c>
      <c r="H98" s="6" t="s">
        <v>6049</v>
      </c>
      <c r="I98" s="222" t="s">
        <v>6045</v>
      </c>
      <c r="J98" s="222" t="s">
        <v>639</v>
      </c>
    </row>
    <row r="99" customFormat="false" ht="51.75" hidden="false" customHeight="true" outlineLevel="0" collapsed="false">
      <c r="A99" s="28" t="s">
        <v>3743</v>
      </c>
      <c r="B99" s="28" t="s">
        <v>6038</v>
      </c>
      <c r="C99" s="19" t="s">
        <v>6050</v>
      </c>
      <c r="D99" s="19" t="s">
        <v>6051</v>
      </c>
      <c r="E99" s="28" t="s">
        <v>6041</v>
      </c>
      <c r="F99" s="19" t="s">
        <v>6052</v>
      </c>
      <c r="G99" s="222" t="s">
        <v>6043</v>
      </c>
      <c r="H99" s="6" t="s">
        <v>6053</v>
      </c>
      <c r="I99" s="222" t="s">
        <v>6054</v>
      </c>
      <c r="J99" s="222" t="s">
        <v>639</v>
      </c>
    </row>
    <row r="100" customFormat="false" ht="39" hidden="false" customHeight="true" outlineLevel="0" collapsed="false">
      <c r="A100" s="28" t="s">
        <v>4625</v>
      </c>
      <c r="B100" s="28" t="s">
        <v>6038</v>
      </c>
      <c r="C100" s="19" t="s">
        <v>6055</v>
      </c>
      <c r="D100" s="19" t="s">
        <v>6056</v>
      </c>
      <c r="E100" s="28" t="s">
        <v>6041</v>
      </c>
      <c r="F100" s="19" t="s">
        <v>6057</v>
      </c>
      <c r="G100" s="222" t="s">
        <v>6043</v>
      </c>
      <c r="H100" s="6" t="s">
        <v>6058</v>
      </c>
      <c r="I100" s="222" t="s">
        <v>6054</v>
      </c>
      <c r="J100" s="222" t="s">
        <v>639</v>
      </c>
    </row>
    <row r="101" customFormat="false" ht="51.75" hidden="false" customHeight="true" outlineLevel="0" collapsed="false">
      <c r="A101" s="28" t="s">
        <v>6059</v>
      </c>
      <c r="B101" s="28" t="s">
        <v>6038</v>
      </c>
      <c r="C101" s="19" t="s">
        <v>6060</v>
      </c>
      <c r="D101" s="6" t="s">
        <v>6061</v>
      </c>
      <c r="E101" s="28" t="s">
        <v>6062</v>
      </c>
      <c r="F101" s="6" t="s">
        <v>6063</v>
      </c>
      <c r="G101" s="222" t="s">
        <v>6043</v>
      </c>
      <c r="H101" s="6" t="s">
        <v>6064</v>
      </c>
      <c r="I101" s="222" t="s">
        <v>6065</v>
      </c>
      <c r="J101" s="222" t="s">
        <v>611</v>
      </c>
    </row>
    <row r="102" customFormat="false" ht="39" hidden="false" customHeight="true" outlineLevel="0" collapsed="false">
      <c r="A102" s="28" t="s">
        <v>6066</v>
      </c>
      <c r="B102" s="28" t="s">
        <v>6038</v>
      </c>
      <c r="C102" s="6" t="s">
        <v>6067</v>
      </c>
      <c r="D102" s="6" t="s">
        <v>6068</v>
      </c>
      <c r="E102" s="28" t="s">
        <v>6062</v>
      </c>
      <c r="F102" s="6" t="s">
        <v>6069</v>
      </c>
      <c r="G102" s="222" t="s">
        <v>6043</v>
      </c>
      <c r="H102" s="6" t="s">
        <v>6070</v>
      </c>
      <c r="I102" s="222" t="s">
        <v>6071</v>
      </c>
      <c r="J102" s="222" t="s">
        <v>611</v>
      </c>
    </row>
    <row r="103" customFormat="false" ht="39" hidden="false" customHeight="true" outlineLevel="0" collapsed="false">
      <c r="A103" s="28" t="s">
        <v>6072</v>
      </c>
      <c r="B103" s="28" t="s">
        <v>6038</v>
      </c>
      <c r="C103" s="6" t="s">
        <v>6073</v>
      </c>
      <c r="D103" s="6" t="s">
        <v>6074</v>
      </c>
      <c r="E103" s="28" t="s">
        <v>6062</v>
      </c>
      <c r="F103" s="6" t="s">
        <v>6075</v>
      </c>
      <c r="G103" s="222" t="s">
        <v>6043</v>
      </c>
      <c r="H103" s="6" t="s">
        <v>6076</v>
      </c>
      <c r="I103" s="28" t="s">
        <v>6077</v>
      </c>
      <c r="J103" s="222" t="s">
        <v>611</v>
      </c>
    </row>
    <row r="104" customFormat="false" ht="26.25" hidden="false" customHeight="true" outlineLevel="0" collapsed="false">
      <c r="A104" s="28" t="s">
        <v>6078</v>
      </c>
      <c r="B104" s="28" t="s">
        <v>6038</v>
      </c>
      <c r="C104" s="6" t="s">
        <v>6079</v>
      </c>
      <c r="D104" s="19" t="s">
        <v>6080</v>
      </c>
      <c r="E104" s="28" t="s">
        <v>6041</v>
      </c>
      <c r="F104" s="19" t="s">
        <v>6081</v>
      </c>
      <c r="G104" s="222" t="s">
        <v>6043</v>
      </c>
      <c r="H104" s="6" t="s">
        <v>6082</v>
      </c>
      <c r="I104" s="222" t="s">
        <v>6083</v>
      </c>
      <c r="J104" s="222" t="s">
        <v>639</v>
      </c>
    </row>
    <row r="105" customFormat="false" ht="51.75" hidden="false" customHeight="true" outlineLevel="0" collapsed="false">
      <c r="A105" s="28" t="s">
        <v>3753</v>
      </c>
      <c r="B105" s="28" t="s">
        <v>6084</v>
      </c>
      <c r="C105" s="6" t="s">
        <v>6085</v>
      </c>
      <c r="D105" s="6" t="s">
        <v>6086</v>
      </c>
      <c r="E105" s="28" t="s">
        <v>6062</v>
      </c>
      <c r="F105" s="19" t="s">
        <v>6087</v>
      </c>
      <c r="G105" s="28" t="s">
        <v>6088</v>
      </c>
      <c r="H105" s="6" t="s">
        <v>6089</v>
      </c>
      <c r="I105" s="222" t="s">
        <v>6090</v>
      </c>
      <c r="J105" s="222" t="s">
        <v>639</v>
      </c>
    </row>
    <row r="106" customFormat="false" ht="51.75" hidden="false" customHeight="true" outlineLevel="0" collapsed="false">
      <c r="A106" s="28" t="s">
        <v>6091</v>
      </c>
      <c r="B106" s="28" t="s">
        <v>6084</v>
      </c>
      <c r="C106" s="6" t="s">
        <v>6092</v>
      </c>
      <c r="D106" s="6" t="s">
        <v>6093</v>
      </c>
      <c r="E106" s="28" t="s">
        <v>6062</v>
      </c>
      <c r="F106" s="19" t="s">
        <v>6094</v>
      </c>
      <c r="G106" s="28" t="s">
        <v>6088</v>
      </c>
      <c r="H106" s="6" t="s">
        <v>6095</v>
      </c>
      <c r="I106" s="222" t="s">
        <v>6096</v>
      </c>
      <c r="J106" s="222" t="s">
        <v>639</v>
      </c>
    </row>
    <row r="107" customFormat="false" ht="64.5" hidden="false" customHeight="true" outlineLevel="0" collapsed="false">
      <c r="A107" s="28" t="s">
        <v>6097</v>
      </c>
      <c r="B107" s="28" t="s">
        <v>6098</v>
      </c>
      <c r="C107" s="6" t="s">
        <v>6099</v>
      </c>
      <c r="D107" s="6" t="s">
        <v>6100</v>
      </c>
      <c r="E107" s="28" t="s">
        <v>6062</v>
      </c>
      <c r="F107" s="19" t="s">
        <v>6101</v>
      </c>
      <c r="G107" s="28" t="s">
        <v>6102</v>
      </c>
      <c r="H107" s="6" t="s">
        <v>6103</v>
      </c>
      <c r="I107" s="222" t="s">
        <v>6104</v>
      </c>
      <c r="J107" s="222" t="s">
        <v>639</v>
      </c>
    </row>
    <row r="108" customFormat="false" ht="51.75" hidden="false" customHeight="true" outlineLevel="0" collapsed="false">
      <c r="A108" s="28" t="s">
        <v>6105</v>
      </c>
      <c r="B108" s="28" t="s">
        <v>6098</v>
      </c>
      <c r="C108" s="6" t="s">
        <v>6106</v>
      </c>
      <c r="D108" s="6" t="s">
        <v>6107</v>
      </c>
      <c r="E108" s="28" t="s">
        <v>6062</v>
      </c>
      <c r="F108" s="19" t="s">
        <v>6108</v>
      </c>
      <c r="G108" s="28" t="s">
        <v>6109</v>
      </c>
      <c r="H108" s="6" t="s">
        <v>6110</v>
      </c>
      <c r="I108" s="222" t="s">
        <v>6111</v>
      </c>
      <c r="J108" s="222" t="s">
        <v>639</v>
      </c>
    </row>
    <row r="109" customFormat="false" ht="51.75" hidden="false" customHeight="true" outlineLevel="0" collapsed="false">
      <c r="A109" s="28" t="s">
        <v>6112</v>
      </c>
      <c r="B109" s="28" t="s">
        <v>6098</v>
      </c>
      <c r="C109" s="6" t="s">
        <v>6113</v>
      </c>
      <c r="D109" s="6" t="s">
        <v>6114</v>
      </c>
      <c r="E109" s="28" t="s">
        <v>6062</v>
      </c>
      <c r="F109" s="19" t="s">
        <v>6115</v>
      </c>
      <c r="G109" s="28" t="s">
        <v>6102</v>
      </c>
      <c r="H109" s="6" t="s">
        <v>6116</v>
      </c>
      <c r="I109" s="222" t="s">
        <v>6117</v>
      </c>
      <c r="J109" s="222" t="s">
        <v>639</v>
      </c>
    </row>
    <row r="110" customFormat="false" ht="51.75" hidden="false" customHeight="true" outlineLevel="0" collapsed="false">
      <c r="A110" s="28" t="s">
        <v>6118</v>
      </c>
      <c r="B110" s="28" t="s">
        <v>6119</v>
      </c>
      <c r="C110" s="6" t="s">
        <v>6120</v>
      </c>
      <c r="D110" s="6" t="s">
        <v>6121</v>
      </c>
      <c r="E110" s="28" t="s">
        <v>6062</v>
      </c>
      <c r="F110" s="19" t="s">
        <v>6122</v>
      </c>
      <c r="G110" s="28" t="s">
        <v>6123</v>
      </c>
      <c r="H110" s="6" t="s">
        <v>6124</v>
      </c>
      <c r="I110" s="222" t="s">
        <v>6125</v>
      </c>
      <c r="J110" s="222" t="s">
        <v>639</v>
      </c>
    </row>
    <row r="111" customFormat="false" ht="77.25" hidden="false" customHeight="true" outlineLevel="0" collapsed="false">
      <c r="A111" s="28" t="s">
        <v>3757</v>
      </c>
      <c r="B111" s="28" t="s">
        <v>6126</v>
      </c>
      <c r="C111" s="19" t="s">
        <v>6127</v>
      </c>
      <c r="D111" s="19" t="s">
        <v>6128</v>
      </c>
      <c r="E111" s="28" t="s">
        <v>6062</v>
      </c>
      <c r="F111" s="19" t="s">
        <v>6129</v>
      </c>
      <c r="G111" s="28" t="s">
        <v>6130</v>
      </c>
      <c r="H111" s="6" t="s">
        <v>6131</v>
      </c>
      <c r="I111" s="222" t="s">
        <v>6132</v>
      </c>
      <c r="J111" s="222" t="s">
        <v>639</v>
      </c>
    </row>
    <row r="112" customFormat="false" ht="51.75" hidden="false" customHeight="true" outlineLevel="0" collapsed="false">
      <c r="A112" s="28" t="s">
        <v>6133</v>
      </c>
      <c r="B112" s="28" t="s">
        <v>6126</v>
      </c>
      <c r="C112" s="6" t="s">
        <v>6134</v>
      </c>
      <c r="D112" s="6" t="s">
        <v>6135</v>
      </c>
      <c r="E112" s="28" t="s">
        <v>6062</v>
      </c>
      <c r="F112" s="19" t="s">
        <v>6136</v>
      </c>
      <c r="G112" s="28" t="s">
        <v>6130</v>
      </c>
      <c r="H112" s="6" t="s">
        <v>6137</v>
      </c>
      <c r="I112" s="222" t="s">
        <v>6138</v>
      </c>
      <c r="J112" s="222" t="s">
        <v>639</v>
      </c>
    </row>
    <row r="113" customFormat="false" ht="51.75" hidden="false" customHeight="true" outlineLevel="0" collapsed="false">
      <c r="A113" s="28" t="s">
        <v>6139</v>
      </c>
      <c r="B113" s="28" t="s">
        <v>6126</v>
      </c>
      <c r="C113" s="6" t="s">
        <v>6140</v>
      </c>
      <c r="D113" s="6" t="s">
        <v>6141</v>
      </c>
      <c r="E113" s="28" t="s">
        <v>6062</v>
      </c>
      <c r="F113" s="19" t="s">
        <v>6142</v>
      </c>
      <c r="G113" s="28" t="s">
        <v>6130</v>
      </c>
      <c r="H113" s="6" t="s">
        <v>6143</v>
      </c>
      <c r="I113" s="222" t="s">
        <v>6144</v>
      </c>
      <c r="J113" s="222" t="s">
        <v>639</v>
      </c>
    </row>
    <row r="114" customFormat="false" ht="141" hidden="false" customHeight="true" outlineLevel="0" collapsed="false">
      <c r="A114" s="28" t="s">
        <v>5486</v>
      </c>
      <c r="B114" s="28" t="s">
        <v>6145</v>
      </c>
      <c r="C114" s="6" t="s">
        <v>6146</v>
      </c>
      <c r="D114" s="6" t="s">
        <v>6147</v>
      </c>
      <c r="E114" s="28" t="s">
        <v>6148</v>
      </c>
      <c r="F114" s="19" t="s">
        <v>6149</v>
      </c>
      <c r="G114" s="28" t="s">
        <v>6150</v>
      </c>
      <c r="H114" s="6" t="s">
        <v>6151</v>
      </c>
      <c r="I114" s="222" t="s">
        <v>6152</v>
      </c>
      <c r="J114" s="222" t="s">
        <v>639</v>
      </c>
    </row>
    <row r="115" customFormat="false" ht="57.75" hidden="false" customHeight="true" outlineLevel="0" collapsed="false">
      <c r="A115" s="28" t="s">
        <v>6153</v>
      </c>
      <c r="B115" s="28" t="s">
        <v>6154</v>
      </c>
      <c r="C115" s="6" t="s">
        <v>6155</v>
      </c>
      <c r="D115" s="6" t="s">
        <v>6156</v>
      </c>
      <c r="E115" s="28" t="s">
        <v>6148</v>
      </c>
      <c r="F115" s="226" t="s">
        <v>6157</v>
      </c>
      <c r="G115" s="28" t="s">
        <v>6158</v>
      </c>
      <c r="H115" s="6" t="s">
        <v>6159</v>
      </c>
      <c r="I115" s="196" t="s">
        <v>6160</v>
      </c>
      <c r="J115" s="196" t="s">
        <v>639</v>
      </c>
    </row>
    <row r="116" customFormat="false" ht="213.75" hidden="false" customHeight="true" outlineLevel="0" collapsed="false">
      <c r="A116" s="28" t="s">
        <v>6161</v>
      </c>
      <c r="B116" s="28" t="s">
        <v>6154</v>
      </c>
      <c r="C116" s="6" t="s">
        <v>6162</v>
      </c>
      <c r="D116" s="6" t="s">
        <v>6163</v>
      </c>
      <c r="E116" s="28" t="s">
        <v>6148</v>
      </c>
      <c r="F116" s="226" t="s">
        <v>6157</v>
      </c>
      <c r="G116" s="28" t="s">
        <v>6158</v>
      </c>
      <c r="H116" s="6" t="s">
        <v>6164</v>
      </c>
      <c r="I116" s="196" t="s">
        <v>6165</v>
      </c>
      <c r="J116" s="196" t="s">
        <v>639</v>
      </c>
    </row>
    <row r="117" customFormat="false" ht="213.75" hidden="false" customHeight="true" outlineLevel="0" collapsed="false">
      <c r="A117" s="28" t="s">
        <v>6166</v>
      </c>
      <c r="B117" s="28" t="s">
        <v>6167</v>
      </c>
      <c r="C117" s="6" t="s">
        <v>6168</v>
      </c>
      <c r="D117" s="6" t="s">
        <v>6169</v>
      </c>
      <c r="E117" s="28" t="s">
        <v>3338</v>
      </c>
      <c r="F117" s="226" t="s">
        <v>6157</v>
      </c>
      <c r="G117" s="28" t="s">
        <v>6170</v>
      </c>
      <c r="H117" s="6" t="s">
        <v>6171</v>
      </c>
      <c r="I117" s="196" t="s">
        <v>6172</v>
      </c>
      <c r="J117" s="196" t="s">
        <v>639</v>
      </c>
    </row>
    <row r="118" customFormat="false" ht="54.75" hidden="false" customHeight="true" outlineLevel="0" collapsed="false">
      <c r="A118" s="28" t="s">
        <v>6173</v>
      </c>
      <c r="B118" s="28" t="s">
        <v>6174</v>
      </c>
      <c r="C118" s="6" t="s">
        <v>6175</v>
      </c>
      <c r="D118" s="6" t="s">
        <v>6176</v>
      </c>
      <c r="E118" s="28" t="s">
        <v>3338</v>
      </c>
      <c r="F118" s="6" t="s">
        <v>6177</v>
      </c>
      <c r="G118" s="28" t="s">
        <v>6178</v>
      </c>
      <c r="H118" s="6" t="s">
        <v>6179</v>
      </c>
      <c r="I118" s="196" t="s">
        <v>6180</v>
      </c>
      <c r="J118" s="196" t="s">
        <v>639</v>
      </c>
    </row>
    <row r="119" customFormat="false" ht="54.75" hidden="false" customHeight="true" outlineLevel="0" collapsed="false">
      <c r="A119" s="28" t="s">
        <v>6181</v>
      </c>
      <c r="B119" s="28" t="s">
        <v>6174</v>
      </c>
      <c r="C119" s="6" t="s">
        <v>6182</v>
      </c>
      <c r="D119" s="226" t="s">
        <v>6183</v>
      </c>
      <c r="E119" s="28" t="s">
        <v>3338</v>
      </c>
      <c r="F119" s="6" t="s">
        <v>6177</v>
      </c>
      <c r="G119" s="28" t="s">
        <v>6178</v>
      </c>
      <c r="H119" s="6" t="s">
        <v>6184</v>
      </c>
      <c r="I119" s="196" t="s">
        <v>6180</v>
      </c>
      <c r="J119" s="196" t="s">
        <v>639</v>
      </c>
    </row>
    <row r="120" customFormat="false" ht="72" hidden="false" customHeight="true" outlineLevel="0" collapsed="false">
      <c r="A120" s="28" t="s">
        <v>6185</v>
      </c>
      <c r="B120" s="28" t="s">
        <v>6174</v>
      </c>
      <c r="C120" s="6" t="s">
        <v>6186</v>
      </c>
      <c r="D120" s="6" t="s">
        <v>6187</v>
      </c>
      <c r="E120" s="28" t="s">
        <v>3338</v>
      </c>
      <c r="F120" s="6" t="s">
        <v>6177</v>
      </c>
      <c r="G120" s="28" t="s">
        <v>6178</v>
      </c>
      <c r="H120" s="6" t="s">
        <v>6188</v>
      </c>
      <c r="I120" s="196" t="s">
        <v>6180</v>
      </c>
      <c r="J120" s="196" t="s">
        <v>639</v>
      </c>
    </row>
    <row r="121" customFormat="false" ht="54.75" hidden="false" customHeight="true" outlineLevel="0" collapsed="false">
      <c r="A121" s="28" t="s">
        <v>6189</v>
      </c>
      <c r="B121" s="28" t="s">
        <v>6174</v>
      </c>
      <c r="C121" s="6" t="s">
        <v>6190</v>
      </c>
      <c r="D121" s="226" t="s">
        <v>6191</v>
      </c>
      <c r="E121" s="28" t="s">
        <v>3338</v>
      </c>
      <c r="F121" s="6" t="s">
        <v>6177</v>
      </c>
      <c r="G121" s="28" t="s">
        <v>6178</v>
      </c>
      <c r="H121" s="6" t="s">
        <v>6192</v>
      </c>
      <c r="I121" s="196" t="s">
        <v>6180</v>
      </c>
      <c r="J121" s="196" t="s">
        <v>639</v>
      </c>
    </row>
    <row r="122" customFormat="false" ht="54.75" hidden="false" customHeight="true" outlineLevel="0" collapsed="false">
      <c r="A122" s="28" t="s">
        <v>6193</v>
      </c>
      <c r="B122" s="28" t="s">
        <v>6174</v>
      </c>
      <c r="C122" s="6" t="s">
        <v>6194</v>
      </c>
      <c r="D122" s="6" t="s">
        <v>6195</v>
      </c>
      <c r="E122" s="28" t="s">
        <v>3338</v>
      </c>
      <c r="F122" s="6" t="s">
        <v>6177</v>
      </c>
      <c r="G122" s="28" t="s">
        <v>6178</v>
      </c>
      <c r="H122" s="6" t="s">
        <v>6196</v>
      </c>
      <c r="I122" s="196" t="s">
        <v>6180</v>
      </c>
      <c r="J122" s="196" t="s">
        <v>639</v>
      </c>
    </row>
    <row r="123" customFormat="false" ht="54.75" hidden="false" customHeight="true" outlineLevel="0" collapsed="false">
      <c r="A123" s="28" t="s">
        <v>6197</v>
      </c>
      <c r="B123" s="28" t="s">
        <v>6174</v>
      </c>
      <c r="C123" s="6" t="s">
        <v>6198</v>
      </c>
      <c r="D123" s="6" t="s">
        <v>6199</v>
      </c>
      <c r="E123" s="28" t="s">
        <v>3338</v>
      </c>
      <c r="F123" s="6" t="s">
        <v>6177</v>
      </c>
      <c r="G123" s="28" t="s">
        <v>6178</v>
      </c>
      <c r="H123" s="6" t="s">
        <v>6200</v>
      </c>
      <c r="I123" s="196" t="s">
        <v>6180</v>
      </c>
      <c r="J123" s="196" t="s">
        <v>639</v>
      </c>
    </row>
    <row r="124" customFormat="false" ht="54.75" hidden="false" customHeight="true" outlineLevel="0" collapsed="false">
      <c r="A124" s="28" t="s">
        <v>6201</v>
      </c>
      <c r="B124" s="28" t="s">
        <v>6174</v>
      </c>
      <c r="C124" s="6" t="s">
        <v>6202</v>
      </c>
      <c r="D124" s="226" t="s">
        <v>6203</v>
      </c>
      <c r="E124" s="28" t="s">
        <v>3338</v>
      </c>
      <c r="F124" s="6" t="s">
        <v>6177</v>
      </c>
      <c r="G124" s="28" t="s">
        <v>6178</v>
      </c>
      <c r="H124" s="6" t="s">
        <v>6204</v>
      </c>
      <c r="I124" s="196" t="s">
        <v>6180</v>
      </c>
      <c r="J124" s="196" t="s">
        <v>639</v>
      </c>
    </row>
    <row r="125" customFormat="false" ht="57.75" hidden="false" customHeight="true" outlineLevel="0" collapsed="false">
      <c r="A125" s="28" t="s">
        <v>6205</v>
      </c>
      <c r="B125" s="28" t="s">
        <v>6174</v>
      </c>
      <c r="C125" s="6" t="s">
        <v>6206</v>
      </c>
      <c r="D125" s="226" t="s">
        <v>6207</v>
      </c>
      <c r="E125" s="28" t="s">
        <v>3338</v>
      </c>
      <c r="F125" s="6" t="s">
        <v>6177</v>
      </c>
      <c r="G125" s="28" t="s">
        <v>6178</v>
      </c>
      <c r="H125" s="6" t="s">
        <v>6208</v>
      </c>
      <c r="I125" s="196" t="s">
        <v>6180</v>
      </c>
      <c r="J125" s="196" t="s">
        <v>639</v>
      </c>
    </row>
    <row r="126" customFormat="false" ht="54.75" hidden="false" customHeight="true" outlineLevel="0" collapsed="false">
      <c r="A126" s="28" t="s">
        <v>6209</v>
      </c>
      <c r="B126" s="28" t="s">
        <v>6174</v>
      </c>
      <c r="C126" s="6" t="s">
        <v>6210</v>
      </c>
      <c r="D126" s="6" t="s">
        <v>6211</v>
      </c>
      <c r="E126" s="28" t="s">
        <v>3338</v>
      </c>
      <c r="F126" s="6" t="s">
        <v>6177</v>
      </c>
      <c r="G126" s="28" t="s">
        <v>6178</v>
      </c>
      <c r="H126" s="6" t="s">
        <v>6212</v>
      </c>
      <c r="I126" s="196" t="s">
        <v>6180</v>
      </c>
      <c r="J126" s="196" t="s">
        <v>639</v>
      </c>
    </row>
    <row r="127" customFormat="false" ht="54.75" hidden="false" customHeight="true" outlineLevel="0" collapsed="false">
      <c r="A127" s="28" t="s">
        <v>6213</v>
      </c>
      <c r="B127" s="28" t="s">
        <v>6174</v>
      </c>
      <c r="C127" s="6" t="s">
        <v>6214</v>
      </c>
      <c r="D127" s="226" t="s">
        <v>6215</v>
      </c>
      <c r="E127" s="28" t="s">
        <v>3338</v>
      </c>
      <c r="F127" s="6" t="s">
        <v>6177</v>
      </c>
      <c r="G127" s="28" t="s">
        <v>6178</v>
      </c>
      <c r="H127" s="226" t="s">
        <v>6216</v>
      </c>
      <c r="I127" s="196" t="s">
        <v>6180</v>
      </c>
      <c r="J127" s="196" t="s">
        <v>639</v>
      </c>
    </row>
    <row r="128" customFormat="false" ht="114.75" hidden="false" customHeight="true" outlineLevel="0" collapsed="false">
      <c r="A128" s="28" t="s">
        <v>6217</v>
      </c>
      <c r="B128" s="28" t="s">
        <v>6174</v>
      </c>
      <c r="C128" s="6" t="s">
        <v>6218</v>
      </c>
      <c r="D128" s="226" t="s">
        <v>6219</v>
      </c>
      <c r="E128" s="28" t="s">
        <v>3338</v>
      </c>
      <c r="F128" s="6" t="s">
        <v>6220</v>
      </c>
      <c r="G128" s="28" t="s">
        <v>6178</v>
      </c>
      <c r="H128" s="6" t="s">
        <v>6221</v>
      </c>
      <c r="I128" s="196" t="s">
        <v>6180</v>
      </c>
      <c r="J128" s="196" t="s">
        <v>639</v>
      </c>
    </row>
    <row r="129" customFormat="false" ht="43.5" hidden="false" customHeight="true" outlineLevel="0" collapsed="false">
      <c r="A129" s="28" t="s">
        <v>6222</v>
      </c>
      <c r="B129" s="28" t="s">
        <v>6174</v>
      </c>
      <c r="C129" s="6" t="s">
        <v>6223</v>
      </c>
      <c r="D129" s="6" t="s">
        <v>6224</v>
      </c>
      <c r="E129" s="28" t="s">
        <v>3338</v>
      </c>
      <c r="F129" s="6" t="s">
        <v>6220</v>
      </c>
      <c r="G129" s="28" t="s">
        <v>6178</v>
      </c>
      <c r="H129" s="6" t="s">
        <v>6225</v>
      </c>
      <c r="I129" s="196" t="s">
        <v>6180</v>
      </c>
      <c r="J129" s="196" t="s">
        <v>639</v>
      </c>
    </row>
    <row r="130" customFormat="false" ht="69" hidden="false" customHeight="true" outlineLevel="0" collapsed="false">
      <c r="A130" s="28" t="s">
        <v>5492</v>
      </c>
      <c r="B130" s="28" t="s">
        <v>6174</v>
      </c>
      <c r="C130" s="6" t="s">
        <v>6226</v>
      </c>
      <c r="D130" s="6" t="s">
        <v>6227</v>
      </c>
      <c r="E130" s="28" t="s">
        <v>3338</v>
      </c>
      <c r="F130" s="6" t="s">
        <v>6220</v>
      </c>
      <c r="G130" s="28" t="s">
        <v>6178</v>
      </c>
      <c r="H130" s="6" t="s">
        <v>6228</v>
      </c>
      <c r="I130" s="196" t="s">
        <v>6180</v>
      </c>
      <c r="J130" s="196" t="s">
        <v>639</v>
      </c>
    </row>
    <row r="131" customFormat="false" ht="54.75" hidden="false" customHeight="true" outlineLevel="0" collapsed="false">
      <c r="A131" s="28" t="s">
        <v>4627</v>
      </c>
      <c r="B131" s="28" t="s">
        <v>6174</v>
      </c>
      <c r="C131" s="6" t="s">
        <v>6229</v>
      </c>
      <c r="D131" s="6" t="s">
        <v>6230</v>
      </c>
      <c r="E131" s="28" t="s">
        <v>3338</v>
      </c>
      <c r="F131" s="6" t="s">
        <v>6177</v>
      </c>
      <c r="G131" s="28" t="s">
        <v>6178</v>
      </c>
      <c r="H131" s="6" t="s">
        <v>6231</v>
      </c>
      <c r="I131" s="196" t="s">
        <v>6232</v>
      </c>
      <c r="J131" s="196" t="s">
        <v>639</v>
      </c>
    </row>
    <row r="132" customFormat="false" ht="86.25" hidden="false" customHeight="true" outlineLevel="0" collapsed="false">
      <c r="A132" s="28" t="s">
        <v>6233</v>
      </c>
      <c r="B132" s="28" t="s">
        <v>6234</v>
      </c>
      <c r="C132" s="6" t="s">
        <v>6235</v>
      </c>
      <c r="D132" s="6" t="s">
        <v>6236</v>
      </c>
      <c r="E132" s="28" t="s">
        <v>3338</v>
      </c>
      <c r="F132" s="6" t="s">
        <v>6237</v>
      </c>
      <c r="G132" s="28" t="s">
        <v>6238</v>
      </c>
      <c r="H132" s="6" t="s">
        <v>6239</v>
      </c>
      <c r="I132" s="196" t="s">
        <v>6240</v>
      </c>
      <c r="J132" s="196" t="s">
        <v>639</v>
      </c>
    </row>
    <row r="133" customFormat="false" ht="57.75" hidden="false" customHeight="true" outlineLevel="0" collapsed="false">
      <c r="A133" s="28" t="s">
        <v>6241</v>
      </c>
      <c r="B133" s="28" t="s">
        <v>6234</v>
      </c>
      <c r="C133" s="6" t="s">
        <v>6242</v>
      </c>
      <c r="D133" s="6" t="s">
        <v>6243</v>
      </c>
      <c r="E133" s="28" t="s">
        <v>3338</v>
      </c>
      <c r="F133" s="6" t="s">
        <v>6237</v>
      </c>
      <c r="G133" s="28" t="s">
        <v>6238</v>
      </c>
      <c r="H133" s="6" t="s">
        <v>6244</v>
      </c>
      <c r="I133" s="196" t="s">
        <v>6245</v>
      </c>
      <c r="J133" s="196" t="s">
        <v>639</v>
      </c>
    </row>
    <row r="134" customFormat="false" ht="57.75" hidden="false" customHeight="true" outlineLevel="0" collapsed="false">
      <c r="A134" s="28" t="s">
        <v>6246</v>
      </c>
      <c r="B134" s="28" t="s">
        <v>6234</v>
      </c>
      <c r="C134" s="6" t="s">
        <v>6247</v>
      </c>
      <c r="D134" s="6" t="s">
        <v>6248</v>
      </c>
      <c r="E134" s="28" t="s">
        <v>3338</v>
      </c>
      <c r="F134" s="6" t="s">
        <v>6237</v>
      </c>
      <c r="G134" s="28" t="s">
        <v>6238</v>
      </c>
      <c r="H134" s="6" t="s">
        <v>6249</v>
      </c>
      <c r="I134" s="196" t="s">
        <v>6250</v>
      </c>
      <c r="J134" s="196" t="s">
        <v>639</v>
      </c>
    </row>
    <row r="135" customFormat="false" ht="72" hidden="false" customHeight="true" outlineLevel="0" collapsed="false">
      <c r="A135" s="28" t="s">
        <v>4065</v>
      </c>
      <c r="B135" s="28" t="s">
        <v>6251</v>
      </c>
      <c r="C135" s="6" t="s">
        <v>6252</v>
      </c>
      <c r="D135" s="6" t="s">
        <v>6253</v>
      </c>
      <c r="E135" s="28" t="s">
        <v>3338</v>
      </c>
      <c r="F135" s="6" t="s">
        <v>6254</v>
      </c>
      <c r="G135" s="28" t="s">
        <v>6255</v>
      </c>
      <c r="H135" s="6" t="s">
        <v>6256</v>
      </c>
      <c r="I135" s="196" t="s">
        <v>6257</v>
      </c>
      <c r="J135" s="196" t="s">
        <v>639</v>
      </c>
    </row>
    <row r="136" customFormat="false" ht="72" hidden="false" customHeight="true" outlineLevel="0" collapsed="false">
      <c r="A136" s="28" t="s">
        <v>3928</v>
      </c>
      <c r="B136" s="28" t="s">
        <v>6251</v>
      </c>
      <c r="C136" s="6" t="s">
        <v>6258</v>
      </c>
      <c r="D136" s="6" t="s">
        <v>6259</v>
      </c>
      <c r="E136" s="28" t="s">
        <v>3338</v>
      </c>
      <c r="F136" s="6" t="s">
        <v>6254</v>
      </c>
      <c r="G136" s="28" t="s">
        <v>6255</v>
      </c>
      <c r="H136" s="6" t="s">
        <v>6260</v>
      </c>
      <c r="I136" s="196" t="s">
        <v>6261</v>
      </c>
      <c r="J136" s="196" t="s">
        <v>639</v>
      </c>
    </row>
    <row r="137" customFormat="false" ht="43.5" hidden="false" customHeight="true" outlineLevel="0" collapsed="false">
      <c r="A137" s="28" t="s">
        <v>5514</v>
      </c>
      <c r="B137" s="28" t="s">
        <v>6251</v>
      </c>
      <c r="C137" s="6" t="s">
        <v>6262</v>
      </c>
      <c r="D137" s="6" t="s">
        <v>6263</v>
      </c>
      <c r="E137" s="28" t="s">
        <v>3338</v>
      </c>
      <c r="F137" s="6" t="s">
        <v>6254</v>
      </c>
      <c r="G137" s="28" t="s">
        <v>6255</v>
      </c>
      <c r="H137" s="6" t="s">
        <v>6264</v>
      </c>
      <c r="I137" s="196" t="s">
        <v>6261</v>
      </c>
      <c r="J137" s="196" t="s">
        <v>639</v>
      </c>
    </row>
    <row r="138" customFormat="false" ht="57.75" hidden="false" customHeight="true" outlineLevel="0" collapsed="false">
      <c r="A138" s="28" t="s">
        <v>6265</v>
      </c>
      <c r="B138" s="28" t="s">
        <v>6251</v>
      </c>
      <c r="C138" s="6" t="s">
        <v>6266</v>
      </c>
      <c r="D138" s="6" t="s">
        <v>6267</v>
      </c>
      <c r="E138" s="28" t="s">
        <v>3338</v>
      </c>
      <c r="F138" s="6" t="s">
        <v>6254</v>
      </c>
      <c r="G138" s="28" t="s">
        <v>6255</v>
      </c>
      <c r="H138" s="6" t="s">
        <v>6268</v>
      </c>
      <c r="I138" s="196" t="s">
        <v>6269</v>
      </c>
      <c r="J138" s="196" t="s">
        <v>639</v>
      </c>
    </row>
    <row r="139" customFormat="false" ht="57.75" hidden="false" customHeight="true" outlineLevel="0" collapsed="false">
      <c r="A139" s="28" t="s">
        <v>6270</v>
      </c>
      <c r="B139" s="28" t="s">
        <v>6251</v>
      </c>
      <c r="C139" s="6" t="s">
        <v>6271</v>
      </c>
      <c r="D139" s="226" t="s">
        <v>6272</v>
      </c>
      <c r="E139" s="28" t="s">
        <v>3338</v>
      </c>
      <c r="F139" s="6" t="s">
        <v>6254</v>
      </c>
      <c r="G139" s="28" t="s">
        <v>6255</v>
      </c>
      <c r="H139" s="6" t="s">
        <v>6273</v>
      </c>
      <c r="I139" s="196" t="s">
        <v>6274</v>
      </c>
      <c r="J139" s="196" t="s">
        <v>639</v>
      </c>
    </row>
    <row r="140" customFormat="false" ht="143.25" hidden="false" customHeight="true" outlineLevel="0" collapsed="false">
      <c r="A140" s="28" t="s">
        <v>5543</v>
      </c>
      <c r="B140" s="28" t="s">
        <v>6275</v>
      </c>
      <c r="C140" s="6" t="s">
        <v>6276</v>
      </c>
      <c r="D140" s="6" t="s">
        <v>6277</v>
      </c>
      <c r="E140" s="28" t="s">
        <v>6278</v>
      </c>
      <c r="F140" s="6" t="s">
        <v>6279</v>
      </c>
      <c r="G140" s="28" t="s">
        <v>6280</v>
      </c>
      <c r="H140" s="6" t="s">
        <v>6281</v>
      </c>
      <c r="I140" s="196" t="s">
        <v>6282</v>
      </c>
      <c r="J140" s="196" t="s">
        <v>639</v>
      </c>
    </row>
    <row r="141" customFormat="false" ht="143.25" hidden="false" customHeight="true" outlineLevel="0" collapsed="false">
      <c r="A141" s="28" t="s">
        <v>6283</v>
      </c>
      <c r="B141" s="28" t="s">
        <v>6275</v>
      </c>
      <c r="C141" s="6" t="s">
        <v>6284</v>
      </c>
      <c r="D141" s="226" t="s">
        <v>6285</v>
      </c>
      <c r="E141" s="28" t="s">
        <v>6278</v>
      </c>
      <c r="F141" s="6" t="s">
        <v>6279</v>
      </c>
      <c r="G141" s="28" t="s">
        <v>6280</v>
      </c>
      <c r="H141" s="6" t="s">
        <v>6286</v>
      </c>
      <c r="I141" s="196" t="s">
        <v>6287</v>
      </c>
      <c r="J141" s="196" t="s">
        <v>639</v>
      </c>
    </row>
    <row r="142" customFormat="false" ht="143.25" hidden="false" customHeight="true" outlineLevel="0" collapsed="false">
      <c r="A142" s="28" t="s">
        <v>6288</v>
      </c>
      <c r="B142" s="28" t="s">
        <v>6275</v>
      </c>
      <c r="C142" s="6" t="s">
        <v>6289</v>
      </c>
      <c r="D142" s="6" t="s">
        <v>6290</v>
      </c>
      <c r="E142" s="28" t="s">
        <v>6278</v>
      </c>
      <c r="F142" s="6" t="s">
        <v>6279</v>
      </c>
      <c r="G142" s="28" t="s">
        <v>6280</v>
      </c>
      <c r="H142" s="6" t="s">
        <v>6291</v>
      </c>
      <c r="I142" s="196" t="s">
        <v>6292</v>
      </c>
      <c r="J142" s="196" t="s">
        <v>639</v>
      </c>
    </row>
    <row r="143" customFormat="false" ht="143.25" hidden="false" customHeight="true" outlineLevel="0" collapsed="false">
      <c r="A143" s="28" t="s">
        <v>6293</v>
      </c>
      <c r="B143" s="28" t="s">
        <v>6275</v>
      </c>
      <c r="C143" s="6" t="s">
        <v>6294</v>
      </c>
      <c r="D143" s="226" t="s">
        <v>6295</v>
      </c>
      <c r="E143" s="28" t="s">
        <v>6278</v>
      </c>
      <c r="F143" s="6" t="s">
        <v>6279</v>
      </c>
      <c r="G143" s="28" t="s">
        <v>6280</v>
      </c>
      <c r="H143" s="226" t="s">
        <v>6296</v>
      </c>
      <c r="I143" s="196" t="s">
        <v>6297</v>
      </c>
      <c r="J143" s="196" t="s">
        <v>639</v>
      </c>
    </row>
    <row r="144" customFormat="false" ht="143.25" hidden="false" customHeight="true" outlineLevel="0" collapsed="false">
      <c r="A144" s="28" t="s">
        <v>6298</v>
      </c>
      <c r="B144" s="28" t="s">
        <v>6275</v>
      </c>
      <c r="C144" s="6" t="s">
        <v>6299</v>
      </c>
      <c r="D144" s="226" t="s">
        <v>6300</v>
      </c>
      <c r="E144" s="28" t="s">
        <v>6278</v>
      </c>
      <c r="F144" s="6" t="s">
        <v>6279</v>
      </c>
      <c r="G144" s="28" t="s">
        <v>6280</v>
      </c>
      <c r="H144" s="6" t="s">
        <v>6301</v>
      </c>
      <c r="I144" s="196" t="s">
        <v>6287</v>
      </c>
      <c r="J144" s="196" t="s">
        <v>639</v>
      </c>
    </row>
    <row r="145" customFormat="false" ht="143.25" hidden="false" customHeight="true" outlineLevel="0" collapsed="false">
      <c r="A145" s="28" t="s">
        <v>6302</v>
      </c>
      <c r="B145" s="28" t="s">
        <v>6275</v>
      </c>
      <c r="C145" s="6" t="s">
        <v>6303</v>
      </c>
      <c r="D145" s="6" t="s">
        <v>6304</v>
      </c>
      <c r="E145" s="28" t="s">
        <v>6278</v>
      </c>
      <c r="F145" s="6" t="s">
        <v>6279</v>
      </c>
      <c r="G145" s="28" t="s">
        <v>6280</v>
      </c>
      <c r="H145" s="6" t="s">
        <v>6305</v>
      </c>
      <c r="I145" s="196" t="s">
        <v>6306</v>
      </c>
      <c r="J145" s="196" t="s">
        <v>639</v>
      </c>
    </row>
    <row r="146" customFormat="false" ht="143.25" hidden="false" customHeight="true" outlineLevel="0" collapsed="false">
      <c r="A146" s="28" t="s">
        <v>6307</v>
      </c>
      <c r="B146" s="28" t="s">
        <v>6308</v>
      </c>
      <c r="C146" s="6" t="s">
        <v>6309</v>
      </c>
      <c r="D146" s="226" t="s">
        <v>6310</v>
      </c>
      <c r="E146" s="28" t="s">
        <v>6311</v>
      </c>
      <c r="F146" s="6" t="s">
        <v>6312</v>
      </c>
      <c r="G146" s="28" t="s">
        <v>6313</v>
      </c>
      <c r="H146" s="6" t="s">
        <v>6314</v>
      </c>
      <c r="I146" s="196" t="s">
        <v>6315</v>
      </c>
      <c r="J146" s="196" t="s">
        <v>639</v>
      </c>
    </row>
    <row r="147" customFormat="false" ht="143.25" hidden="false" customHeight="true" outlineLevel="0" collapsed="false">
      <c r="A147" s="28" t="s">
        <v>6316</v>
      </c>
      <c r="B147" s="28" t="s">
        <v>6308</v>
      </c>
      <c r="C147" s="6" t="s">
        <v>6317</v>
      </c>
      <c r="D147" s="6" t="s">
        <v>6318</v>
      </c>
      <c r="E147" s="28" t="s">
        <v>6311</v>
      </c>
      <c r="F147" s="6" t="s">
        <v>6312</v>
      </c>
      <c r="G147" s="28" t="s">
        <v>6313</v>
      </c>
      <c r="H147" s="6" t="s">
        <v>6319</v>
      </c>
      <c r="I147" s="196" t="s">
        <v>6320</v>
      </c>
      <c r="J147" s="196" t="s">
        <v>639</v>
      </c>
    </row>
    <row r="148" customFormat="false" ht="143.25" hidden="false" customHeight="true" outlineLevel="0" collapsed="false">
      <c r="A148" s="28" t="s">
        <v>6321</v>
      </c>
      <c r="B148" s="28" t="s">
        <v>6308</v>
      </c>
      <c r="C148" s="6" t="s">
        <v>6322</v>
      </c>
      <c r="D148" s="6" t="s">
        <v>6323</v>
      </c>
      <c r="E148" s="28" t="s">
        <v>6311</v>
      </c>
      <c r="F148" s="6" t="s">
        <v>6312</v>
      </c>
      <c r="G148" s="28" t="s">
        <v>6313</v>
      </c>
      <c r="H148" s="6" t="s">
        <v>6324</v>
      </c>
      <c r="I148" s="196" t="s">
        <v>6320</v>
      </c>
      <c r="J148" s="196" t="s">
        <v>639</v>
      </c>
    </row>
    <row r="149" customFormat="false" ht="143.25" hidden="false" customHeight="true" outlineLevel="0" collapsed="false">
      <c r="A149" s="28" t="s">
        <v>6325</v>
      </c>
      <c r="B149" s="28" t="s">
        <v>6308</v>
      </c>
      <c r="C149" s="6" t="s">
        <v>6326</v>
      </c>
      <c r="D149" s="6" t="s">
        <v>6327</v>
      </c>
      <c r="E149" s="28" t="s">
        <v>6311</v>
      </c>
      <c r="F149" s="6" t="s">
        <v>6312</v>
      </c>
      <c r="G149" s="28" t="s">
        <v>6313</v>
      </c>
      <c r="H149" s="6" t="s">
        <v>6328</v>
      </c>
      <c r="I149" s="196" t="s">
        <v>6329</v>
      </c>
      <c r="J149" s="196" t="s">
        <v>639</v>
      </c>
    </row>
    <row r="150" customFormat="false" ht="143.25" hidden="false" customHeight="true" outlineLevel="0" collapsed="false">
      <c r="A150" s="28" t="s">
        <v>5563</v>
      </c>
      <c r="B150" s="28" t="s">
        <v>6308</v>
      </c>
      <c r="C150" s="6" t="s">
        <v>6330</v>
      </c>
      <c r="D150" s="226" t="s">
        <v>6331</v>
      </c>
      <c r="E150" s="28" t="s">
        <v>6311</v>
      </c>
      <c r="F150" s="6" t="s">
        <v>6312</v>
      </c>
      <c r="G150" s="28" t="s">
        <v>6313</v>
      </c>
      <c r="H150" s="6" t="s">
        <v>6332</v>
      </c>
      <c r="I150" s="196" t="s">
        <v>6333</v>
      </c>
      <c r="J150" s="196" t="s">
        <v>639</v>
      </c>
    </row>
    <row r="151" customFormat="false" ht="143.25" hidden="false" customHeight="true" outlineLevel="0" collapsed="false">
      <c r="A151" s="28" t="s">
        <v>6334</v>
      </c>
      <c r="B151" s="28" t="s">
        <v>6308</v>
      </c>
      <c r="C151" s="6" t="s">
        <v>6335</v>
      </c>
      <c r="D151" s="226" t="s">
        <v>6336</v>
      </c>
      <c r="E151" s="28" t="s">
        <v>6311</v>
      </c>
      <c r="F151" s="6" t="s">
        <v>6312</v>
      </c>
      <c r="G151" s="28" t="s">
        <v>6313</v>
      </c>
      <c r="H151" s="6" t="s">
        <v>6337</v>
      </c>
      <c r="I151" s="196" t="s">
        <v>6329</v>
      </c>
      <c r="J151" s="196" t="s">
        <v>639</v>
      </c>
    </row>
    <row r="152" customFormat="false" ht="143.25" hidden="false" customHeight="true" outlineLevel="0" collapsed="false">
      <c r="A152" s="28" t="s">
        <v>6338</v>
      </c>
      <c r="B152" s="28" t="s">
        <v>6308</v>
      </c>
      <c r="C152" s="6" t="s">
        <v>6339</v>
      </c>
      <c r="D152" s="6" t="s">
        <v>6340</v>
      </c>
      <c r="E152" s="28" t="s">
        <v>6311</v>
      </c>
      <c r="F152" s="6" t="s">
        <v>6312</v>
      </c>
      <c r="G152" s="28" t="s">
        <v>6313</v>
      </c>
      <c r="H152" s="6" t="s">
        <v>6341</v>
      </c>
      <c r="I152" s="196" t="s">
        <v>6329</v>
      </c>
      <c r="J152" s="196" t="s">
        <v>639</v>
      </c>
    </row>
    <row r="153" customFormat="false" ht="143.25" hidden="false" customHeight="true" outlineLevel="0" collapsed="false">
      <c r="A153" s="28" t="s">
        <v>6342</v>
      </c>
      <c r="B153" s="28" t="s">
        <v>6308</v>
      </c>
      <c r="C153" s="6" t="s">
        <v>6343</v>
      </c>
      <c r="D153" s="6" t="s">
        <v>6344</v>
      </c>
      <c r="E153" s="28" t="s">
        <v>6311</v>
      </c>
      <c r="F153" s="6" t="s">
        <v>6312</v>
      </c>
      <c r="G153" s="28" t="s">
        <v>6313</v>
      </c>
      <c r="H153" s="6" t="s">
        <v>6345</v>
      </c>
      <c r="I153" s="196" t="s">
        <v>6346</v>
      </c>
      <c r="J153" s="196" t="s">
        <v>639</v>
      </c>
    </row>
    <row r="154" customFormat="false" ht="199.5" hidden="false" customHeight="true" outlineLevel="0" collapsed="false">
      <c r="A154" s="28" t="s">
        <v>6347</v>
      </c>
      <c r="B154" s="28" t="s">
        <v>6348</v>
      </c>
      <c r="C154" s="6" t="s">
        <v>6349</v>
      </c>
      <c r="D154" s="6" t="s">
        <v>6350</v>
      </c>
      <c r="E154" s="28" t="s">
        <v>6351</v>
      </c>
      <c r="F154" s="6" t="s">
        <v>6352</v>
      </c>
      <c r="G154" s="28" t="s">
        <v>6353</v>
      </c>
      <c r="H154" s="6" t="s">
        <v>6354</v>
      </c>
      <c r="I154" s="196" t="s">
        <v>6355</v>
      </c>
      <c r="J154" s="196" t="s">
        <v>639</v>
      </c>
    </row>
    <row r="155" customFormat="false" ht="199.5" hidden="false" customHeight="true" outlineLevel="0" collapsed="false">
      <c r="A155" s="28" t="s">
        <v>6356</v>
      </c>
      <c r="B155" s="28" t="s">
        <v>6348</v>
      </c>
      <c r="C155" s="6" t="s">
        <v>6357</v>
      </c>
      <c r="D155" s="226" t="s">
        <v>6358</v>
      </c>
      <c r="E155" s="28" t="s">
        <v>6351</v>
      </c>
      <c r="F155" s="6" t="s">
        <v>6352</v>
      </c>
      <c r="G155" s="28" t="s">
        <v>6353</v>
      </c>
      <c r="H155" s="6" t="s">
        <v>6359</v>
      </c>
      <c r="I155" s="196" t="s">
        <v>6360</v>
      </c>
      <c r="J155" s="196" t="s">
        <v>639</v>
      </c>
    </row>
    <row r="156" customFormat="false" ht="199.5" hidden="false" customHeight="true" outlineLevel="0" collapsed="false">
      <c r="A156" s="28" t="s">
        <v>5599</v>
      </c>
      <c r="B156" s="28" t="s">
        <v>6348</v>
      </c>
      <c r="C156" s="6" t="s">
        <v>6361</v>
      </c>
      <c r="D156" s="6" t="s">
        <v>6362</v>
      </c>
      <c r="E156" s="28" t="s">
        <v>6351</v>
      </c>
      <c r="F156" s="6" t="s">
        <v>6352</v>
      </c>
      <c r="G156" s="28" t="s">
        <v>6353</v>
      </c>
      <c r="H156" s="6" t="s">
        <v>6363</v>
      </c>
      <c r="I156" s="196" t="s">
        <v>6364</v>
      </c>
      <c r="J156" s="196" t="s">
        <v>639</v>
      </c>
    </row>
    <row r="157" customFormat="false" ht="199.5" hidden="false" customHeight="true" outlineLevel="0" collapsed="false">
      <c r="A157" s="28" t="s">
        <v>5574</v>
      </c>
      <c r="B157" s="28" t="s">
        <v>6348</v>
      </c>
      <c r="C157" s="6" t="s">
        <v>6365</v>
      </c>
      <c r="D157" s="6" t="s">
        <v>6366</v>
      </c>
      <c r="E157" s="28" t="s">
        <v>6351</v>
      </c>
      <c r="F157" s="6" t="s">
        <v>6352</v>
      </c>
      <c r="G157" s="28" t="s">
        <v>6353</v>
      </c>
      <c r="H157" s="6" t="s">
        <v>6367</v>
      </c>
      <c r="I157" s="196" t="s">
        <v>6368</v>
      </c>
      <c r="J157" s="196" t="s">
        <v>639</v>
      </c>
    </row>
    <row r="158" customFormat="false" ht="199.5" hidden="false" customHeight="true" outlineLevel="0" collapsed="false">
      <c r="A158" s="28" t="s">
        <v>5583</v>
      </c>
      <c r="B158" s="28" t="s">
        <v>6348</v>
      </c>
      <c r="C158" s="6" t="s">
        <v>6369</v>
      </c>
      <c r="D158" s="226" t="s">
        <v>6370</v>
      </c>
      <c r="E158" s="28" t="s">
        <v>6351</v>
      </c>
      <c r="F158" s="6" t="s">
        <v>6352</v>
      </c>
      <c r="G158" s="28" t="s">
        <v>6353</v>
      </c>
      <c r="H158" s="6" t="s">
        <v>6371</v>
      </c>
      <c r="I158" s="196" t="s">
        <v>6372</v>
      </c>
      <c r="J158" s="196" t="s">
        <v>639</v>
      </c>
    </row>
    <row r="159" customFormat="false" ht="199.5" hidden="false" customHeight="true" outlineLevel="0" collapsed="false">
      <c r="A159" s="28" t="s">
        <v>6373</v>
      </c>
      <c r="B159" s="28" t="s">
        <v>6348</v>
      </c>
      <c r="C159" s="6" t="s">
        <v>6374</v>
      </c>
      <c r="D159" s="226" t="s">
        <v>6375</v>
      </c>
      <c r="E159" s="28" t="s">
        <v>6351</v>
      </c>
      <c r="F159" s="6" t="s">
        <v>6352</v>
      </c>
      <c r="G159" s="28" t="s">
        <v>6353</v>
      </c>
      <c r="H159" s="6" t="s">
        <v>6376</v>
      </c>
      <c r="I159" s="196" t="s">
        <v>6377</v>
      </c>
      <c r="J159" s="196" t="s">
        <v>639</v>
      </c>
    </row>
    <row r="160" customFormat="false" ht="199.5" hidden="false" customHeight="true" outlineLevel="0" collapsed="false">
      <c r="A160" s="28" t="s">
        <v>6378</v>
      </c>
      <c r="B160" s="28" t="s">
        <v>6348</v>
      </c>
      <c r="C160" s="6" t="s">
        <v>6379</v>
      </c>
      <c r="D160" s="226" t="s">
        <v>6380</v>
      </c>
      <c r="E160" s="28" t="s">
        <v>6351</v>
      </c>
      <c r="F160" s="6" t="s">
        <v>6352</v>
      </c>
      <c r="G160" s="28" t="s">
        <v>6353</v>
      </c>
      <c r="H160" s="6" t="s">
        <v>6381</v>
      </c>
      <c r="I160" s="196" t="s">
        <v>6372</v>
      </c>
      <c r="J160" s="196" t="s">
        <v>639</v>
      </c>
    </row>
    <row r="161" customFormat="false" ht="129" hidden="false" customHeight="true" outlineLevel="0" collapsed="false">
      <c r="A161" s="28" t="s">
        <v>5667</v>
      </c>
      <c r="B161" s="28" t="s">
        <v>6382</v>
      </c>
      <c r="C161" s="6" t="s">
        <v>6383</v>
      </c>
      <c r="D161" s="226" t="s">
        <v>6384</v>
      </c>
      <c r="E161" s="28" t="s">
        <v>6351</v>
      </c>
      <c r="F161" s="6" t="s">
        <v>6385</v>
      </c>
      <c r="G161" s="28" t="s">
        <v>6386</v>
      </c>
      <c r="H161" s="6" t="s">
        <v>6387</v>
      </c>
      <c r="I161" s="196" t="s">
        <v>6388</v>
      </c>
      <c r="J161" s="196" t="s">
        <v>639</v>
      </c>
    </row>
    <row r="162" customFormat="false" ht="129" hidden="false" customHeight="true" outlineLevel="0" collapsed="false">
      <c r="A162" s="28" t="s">
        <v>5695</v>
      </c>
      <c r="B162" s="28" t="s">
        <v>6382</v>
      </c>
      <c r="C162" s="6" t="s">
        <v>6389</v>
      </c>
      <c r="D162" s="6" t="s">
        <v>6390</v>
      </c>
      <c r="E162" s="28" t="s">
        <v>6351</v>
      </c>
      <c r="F162" s="6" t="s">
        <v>6385</v>
      </c>
      <c r="G162" s="28" t="s">
        <v>6386</v>
      </c>
      <c r="H162" s="6" t="s">
        <v>6391</v>
      </c>
      <c r="I162" s="196" t="s">
        <v>6392</v>
      </c>
      <c r="J162" s="196" t="s">
        <v>639</v>
      </c>
    </row>
    <row r="163" customFormat="false" ht="143.25" hidden="false" customHeight="true" outlineLevel="0" collapsed="false">
      <c r="A163" s="28" t="s">
        <v>6393</v>
      </c>
      <c r="B163" s="28" t="s">
        <v>6382</v>
      </c>
      <c r="C163" s="6" t="s">
        <v>6394</v>
      </c>
      <c r="D163" s="6" t="s">
        <v>6395</v>
      </c>
      <c r="E163" s="28" t="s">
        <v>6351</v>
      </c>
      <c r="F163" s="6" t="s">
        <v>6385</v>
      </c>
      <c r="G163" s="28" t="s">
        <v>6386</v>
      </c>
      <c r="H163" s="6" t="s">
        <v>6396</v>
      </c>
      <c r="I163" s="196" t="s">
        <v>6397</v>
      </c>
      <c r="J163" s="196" t="s">
        <v>639</v>
      </c>
    </row>
    <row r="164" customFormat="false" ht="143.25" hidden="false" customHeight="true" outlineLevel="0" collapsed="false">
      <c r="A164" s="28" t="s">
        <v>6398</v>
      </c>
      <c r="B164" s="28" t="s">
        <v>6399</v>
      </c>
      <c r="C164" s="6" t="s">
        <v>6400</v>
      </c>
      <c r="D164" s="226" t="s">
        <v>6401</v>
      </c>
      <c r="E164" s="28" t="s">
        <v>6402</v>
      </c>
      <c r="F164" s="6" t="s">
        <v>6403</v>
      </c>
      <c r="G164" s="28" t="s">
        <v>6404</v>
      </c>
      <c r="H164" s="6" t="s">
        <v>6405</v>
      </c>
      <c r="I164" s="196" t="s">
        <v>6406</v>
      </c>
      <c r="J164" s="196" t="s">
        <v>639</v>
      </c>
    </row>
    <row r="165" customFormat="false" ht="129" hidden="false" customHeight="true" outlineLevel="0" collapsed="false">
      <c r="A165" s="28" t="s">
        <v>6407</v>
      </c>
      <c r="B165" s="28" t="s">
        <v>6399</v>
      </c>
      <c r="C165" s="6" t="s">
        <v>6408</v>
      </c>
      <c r="D165" s="6" t="s">
        <v>6409</v>
      </c>
      <c r="E165" s="28" t="s">
        <v>6402</v>
      </c>
      <c r="F165" s="6" t="s">
        <v>6403</v>
      </c>
      <c r="G165" s="28" t="s">
        <v>6404</v>
      </c>
      <c r="H165" s="6" t="s">
        <v>6410</v>
      </c>
      <c r="I165" s="196" t="s">
        <v>6411</v>
      </c>
      <c r="J165" s="196" t="s">
        <v>639</v>
      </c>
    </row>
    <row r="166" customFormat="false" ht="129" hidden="false" customHeight="true" outlineLevel="0" collapsed="false">
      <c r="A166" s="28" t="s">
        <v>5711</v>
      </c>
      <c r="B166" s="28" t="s">
        <v>6399</v>
      </c>
      <c r="C166" s="6" t="s">
        <v>6412</v>
      </c>
      <c r="D166" s="6" t="s">
        <v>6413</v>
      </c>
      <c r="E166" s="28" t="s">
        <v>6402</v>
      </c>
      <c r="F166" s="6" t="s">
        <v>6403</v>
      </c>
      <c r="G166" s="28" t="s">
        <v>6404</v>
      </c>
      <c r="H166" s="6" t="s">
        <v>6414</v>
      </c>
      <c r="I166" s="196" t="s">
        <v>6415</v>
      </c>
      <c r="J166" s="196" t="s">
        <v>639</v>
      </c>
    </row>
    <row r="167" customFormat="false" ht="100.7" hidden="false" customHeight="false" outlineLevel="0" collapsed="false">
      <c r="A167" s="59" t="s">
        <v>6416</v>
      </c>
      <c r="B167" s="59" t="s">
        <v>6417</v>
      </c>
      <c r="C167" s="5" t="s">
        <v>6418</v>
      </c>
      <c r="D167" s="6" t="s">
        <v>6419</v>
      </c>
      <c r="E167" s="59" t="s">
        <v>6402</v>
      </c>
      <c r="F167" s="6" t="s">
        <v>6420</v>
      </c>
      <c r="G167" s="59" t="s">
        <v>6421</v>
      </c>
      <c r="H167" s="6" t="s">
        <v>6422</v>
      </c>
      <c r="I167" s="58" t="s">
        <v>6423</v>
      </c>
      <c r="J167" s="58" t="s">
        <v>639</v>
      </c>
    </row>
    <row r="168" customFormat="false" ht="129.1" hidden="false" customHeight="false" outlineLevel="0" collapsed="false">
      <c r="A168" s="59" t="s">
        <v>6424</v>
      </c>
      <c r="B168" s="59" t="s">
        <v>6417</v>
      </c>
      <c r="C168" s="5" t="s">
        <v>6425</v>
      </c>
      <c r="D168" s="6" t="s">
        <v>6426</v>
      </c>
      <c r="E168" s="59" t="s">
        <v>6402</v>
      </c>
      <c r="F168" s="6" t="s">
        <v>6420</v>
      </c>
      <c r="G168" s="59" t="s">
        <v>6421</v>
      </c>
      <c r="H168" s="6" t="s">
        <v>6427</v>
      </c>
      <c r="I168" s="58" t="s">
        <v>6428</v>
      </c>
      <c r="J168" s="58" t="s">
        <v>639</v>
      </c>
    </row>
    <row r="169" customFormat="false" ht="58.2" hidden="false" customHeight="false" outlineLevel="0" collapsed="false">
      <c r="A169" s="59" t="s">
        <v>6429</v>
      </c>
      <c r="B169" s="59" t="s">
        <v>6417</v>
      </c>
      <c r="C169" s="5" t="s">
        <v>6430</v>
      </c>
      <c r="D169" s="6" t="s">
        <v>6431</v>
      </c>
      <c r="E169" s="59" t="s">
        <v>6402</v>
      </c>
      <c r="F169" s="6" t="s">
        <v>6420</v>
      </c>
      <c r="G169" s="59" t="s">
        <v>6421</v>
      </c>
      <c r="H169" s="6" t="s">
        <v>6432</v>
      </c>
      <c r="I169" s="58" t="s">
        <v>6433</v>
      </c>
      <c r="J169" s="58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6434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6436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0" t="s">
        <v>6451</v>
      </c>
      <c r="Y4" s="220" t="s">
        <v>6452</v>
      </c>
      <c r="Z4" s="220" t="s">
        <v>6453</v>
      </c>
      <c r="AH4" s="81" t="s">
        <v>6454</v>
      </c>
    </row>
    <row r="5" customFormat="false" ht="29.25" hidden="false" customHeight="true" outlineLevel="0" collapsed="false">
      <c r="A5" s="28" t="s">
        <v>4027</v>
      </c>
      <c r="B5" s="6" t="s">
        <v>6455</v>
      </c>
      <c r="C5" s="224" t="n">
        <v>10.2</v>
      </c>
      <c r="D5" s="222"/>
      <c r="E5" s="222"/>
      <c r="F5" s="28" t="s">
        <v>6456</v>
      </c>
      <c r="G5" s="222" t="s">
        <v>6457</v>
      </c>
      <c r="H5" s="28" t="s">
        <v>6458</v>
      </c>
      <c r="I5" s="28" t="s">
        <v>6459</v>
      </c>
      <c r="J5" s="6" t="s">
        <v>6460</v>
      </c>
      <c r="K5" s="222" t="n">
        <v>1</v>
      </c>
      <c r="L5" s="222" t="s">
        <v>6461</v>
      </c>
      <c r="M5" s="6" t="s">
        <v>6462</v>
      </c>
      <c r="N5" s="222" t="s">
        <v>6463</v>
      </c>
      <c r="O5" s="28" t="s">
        <v>6464</v>
      </c>
      <c r="P5" s="28" t="s">
        <v>608</v>
      </c>
      <c r="Q5" s="28" t="s">
        <v>6465</v>
      </c>
      <c r="R5" s="28" t="s">
        <v>608</v>
      </c>
      <c r="S5" s="28" t="s">
        <v>6041</v>
      </c>
      <c r="T5" s="28" t="s">
        <v>608</v>
      </c>
      <c r="U5" s="28" t="s">
        <v>6037</v>
      </c>
      <c r="V5" s="6" t="s">
        <v>6466</v>
      </c>
      <c r="W5" s="6" t="s">
        <v>6467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6468</v>
      </c>
      <c r="B6" s="6" t="s">
        <v>6469</v>
      </c>
      <c r="C6" s="224" t="n">
        <v>30000</v>
      </c>
      <c r="D6" s="222"/>
      <c r="E6" s="222"/>
      <c r="F6" s="28" t="s">
        <v>110</v>
      </c>
      <c r="G6" s="222" t="s">
        <v>6470</v>
      </c>
      <c r="H6" s="28" t="s">
        <v>166</v>
      </c>
      <c r="I6" s="28" t="s">
        <v>6471</v>
      </c>
      <c r="J6" s="6" t="s">
        <v>6472</v>
      </c>
      <c r="K6" s="222" t="n">
        <v>3</v>
      </c>
      <c r="L6" s="222" t="s">
        <v>6461</v>
      </c>
      <c r="M6" s="6" t="s">
        <v>6473</v>
      </c>
      <c r="N6" s="222" t="s">
        <v>6474</v>
      </c>
      <c r="O6" s="28" t="s">
        <v>6464</v>
      </c>
      <c r="P6" s="28" t="s">
        <v>608</v>
      </c>
      <c r="Q6" s="28" t="s">
        <v>6475</v>
      </c>
      <c r="R6" s="28" t="s">
        <v>608</v>
      </c>
      <c r="S6" s="28" t="s">
        <v>608</v>
      </c>
      <c r="T6" s="28" t="s">
        <v>608</v>
      </c>
      <c r="U6" s="28" t="s">
        <v>6046</v>
      </c>
      <c r="V6" s="6" t="s">
        <v>608</v>
      </c>
      <c r="W6" s="6" t="s">
        <v>608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4057</v>
      </c>
      <c r="B7" s="6" t="s">
        <v>6476</v>
      </c>
      <c r="C7" s="222"/>
      <c r="D7" s="224" t="n">
        <v>220000</v>
      </c>
      <c r="E7" s="224" t="n">
        <v>320000</v>
      </c>
      <c r="F7" s="28" t="s">
        <v>6477</v>
      </c>
      <c r="G7" s="222" t="s">
        <v>6478</v>
      </c>
      <c r="H7" s="28" t="s">
        <v>166</v>
      </c>
      <c r="I7" s="28" t="s">
        <v>6471</v>
      </c>
      <c r="J7" s="6" t="s">
        <v>6472</v>
      </c>
      <c r="K7" s="222" t="n">
        <v>2</v>
      </c>
      <c r="L7" s="222" t="s">
        <v>6461</v>
      </c>
      <c r="M7" s="6" t="s">
        <v>6473</v>
      </c>
      <c r="N7" s="222" t="s">
        <v>6474</v>
      </c>
      <c r="O7" s="28" t="s">
        <v>6464</v>
      </c>
      <c r="P7" s="28" t="s">
        <v>608</v>
      </c>
      <c r="Q7" s="28" t="s">
        <v>6479</v>
      </c>
      <c r="R7" s="28" t="s">
        <v>608</v>
      </c>
      <c r="S7" s="28" t="s">
        <v>6041</v>
      </c>
      <c r="T7" s="28" t="s">
        <v>608</v>
      </c>
      <c r="U7" s="28" t="s">
        <v>6046</v>
      </c>
      <c r="V7" s="6" t="s">
        <v>6480</v>
      </c>
      <c r="W7" s="6" t="s">
        <v>6481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4015</v>
      </c>
      <c r="B8" s="6" t="s">
        <v>6482</v>
      </c>
      <c r="C8" s="222"/>
      <c r="D8" s="224" t="n">
        <v>120</v>
      </c>
      <c r="E8" s="224" t="n">
        <v>132</v>
      </c>
      <c r="F8" s="28" t="s">
        <v>6483</v>
      </c>
      <c r="G8" s="222" t="s">
        <v>6484</v>
      </c>
      <c r="H8" s="28" t="s">
        <v>167</v>
      </c>
      <c r="I8" s="28" t="s">
        <v>6485</v>
      </c>
      <c r="J8" s="6" t="s">
        <v>6486</v>
      </c>
      <c r="K8" s="222" t="n">
        <v>1</v>
      </c>
      <c r="L8" s="222" t="s">
        <v>6461</v>
      </c>
      <c r="M8" s="6" t="s">
        <v>6487</v>
      </c>
      <c r="N8" s="222" t="s">
        <v>6463</v>
      </c>
      <c r="O8" s="28" t="s">
        <v>6464</v>
      </c>
      <c r="P8" s="28" t="s">
        <v>608</v>
      </c>
      <c r="Q8" s="28" t="s">
        <v>6488</v>
      </c>
      <c r="R8" s="28" t="s">
        <v>608</v>
      </c>
      <c r="S8" s="28" t="s">
        <v>6041</v>
      </c>
      <c r="T8" s="28" t="s">
        <v>608</v>
      </c>
      <c r="U8" s="28" t="s">
        <v>6489</v>
      </c>
      <c r="V8" s="6" t="s">
        <v>6490</v>
      </c>
      <c r="W8" s="19" t="s">
        <v>6491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4017</v>
      </c>
      <c r="B9" s="6" t="s">
        <v>6492</v>
      </c>
      <c r="C9" s="222"/>
      <c r="D9" s="224" t="n">
        <v>132</v>
      </c>
      <c r="E9" s="224" t="n">
        <v>140</v>
      </c>
      <c r="F9" s="28" t="s">
        <v>6483</v>
      </c>
      <c r="G9" s="222" t="s">
        <v>6493</v>
      </c>
      <c r="H9" s="28" t="s">
        <v>168</v>
      </c>
      <c r="I9" s="28" t="s">
        <v>6485</v>
      </c>
      <c r="J9" s="6" t="s">
        <v>6494</v>
      </c>
      <c r="K9" s="222" t="n">
        <v>2</v>
      </c>
      <c r="L9" s="222" t="s">
        <v>6461</v>
      </c>
      <c r="M9" s="6" t="s">
        <v>6487</v>
      </c>
      <c r="N9" s="222" t="s">
        <v>6474</v>
      </c>
      <c r="O9" s="28" t="s">
        <v>6464</v>
      </c>
      <c r="P9" s="28" t="s">
        <v>608</v>
      </c>
      <c r="Q9" s="28" t="s">
        <v>6495</v>
      </c>
      <c r="R9" s="28" t="s">
        <v>608</v>
      </c>
      <c r="S9" s="28" t="s">
        <v>6041</v>
      </c>
      <c r="T9" s="28" t="s">
        <v>608</v>
      </c>
      <c r="U9" s="28" t="s">
        <v>6489</v>
      </c>
      <c r="V9" s="6" t="s">
        <v>6496</v>
      </c>
      <c r="W9" s="19" t="s">
        <v>6497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4061</v>
      </c>
      <c r="B10" s="6" t="s">
        <v>6498</v>
      </c>
      <c r="C10" s="222"/>
      <c r="D10" s="224" t="n">
        <v>2.8</v>
      </c>
      <c r="E10" s="224" t="n">
        <v>3.4</v>
      </c>
      <c r="F10" s="28" t="s">
        <v>6499</v>
      </c>
      <c r="G10" s="222" t="s">
        <v>6500</v>
      </c>
      <c r="H10" s="28" t="s">
        <v>167</v>
      </c>
      <c r="I10" s="28" t="s">
        <v>6501</v>
      </c>
      <c r="J10" s="6" t="s">
        <v>6502</v>
      </c>
      <c r="K10" s="222" t="n">
        <v>2</v>
      </c>
      <c r="L10" s="222" t="s">
        <v>6461</v>
      </c>
      <c r="M10" s="19" t="s">
        <v>6503</v>
      </c>
      <c r="N10" s="222" t="s">
        <v>6474</v>
      </c>
      <c r="O10" s="28" t="s">
        <v>6464</v>
      </c>
      <c r="P10" s="28" t="s">
        <v>608</v>
      </c>
      <c r="Q10" s="28" t="s">
        <v>6504</v>
      </c>
      <c r="R10" s="28" t="s">
        <v>608</v>
      </c>
      <c r="S10" s="28" t="s">
        <v>6041</v>
      </c>
      <c r="T10" s="28" t="s">
        <v>608</v>
      </c>
      <c r="U10" s="28" t="s">
        <v>6505</v>
      </c>
      <c r="V10" s="6" t="s">
        <v>6506</v>
      </c>
      <c r="W10" s="19" t="s">
        <v>6507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6508</v>
      </c>
      <c r="B11" s="6" t="s">
        <v>6509</v>
      </c>
      <c r="C11" s="222"/>
      <c r="D11" s="224" t="n">
        <v>6</v>
      </c>
      <c r="E11" s="224" t="n">
        <v>6.5</v>
      </c>
      <c r="F11" s="28" t="s">
        <v>6499</v>
      </c>
      <c r="G11" s="222" t="s">
        <v>6500</v>
      </c>
      <c r="H11" s="28" t="s">
        <v>168</v>
      </c>
      <c r="I11" s="28" t="s">
        <v>6501</v>
      </c>
      <c r="J11" s="6" t="s">
        <v>6502</v>
      </c>
      <c r="K11" s="222" t="n">
        <v>3</v>
      </c>
      <c r="L11" s="222" t="s">
        <v>6461</v>
      </c>
      <c r="M11" s="19" t="s">
        <v>6503</v>
      </c>
      <c r="N11" s="222" t="s">
        <v>6474</v>
      </c>
      <c r="O11" s="28" t="s">
        <v>6510</v>
      </c>
      <c r="P11" s="28" t="s">
        <v>608</v>
      </c>
      <c r="Q11" s="28" t="s">
        <v>6511</v>
      </c>
      <c r="R11" s="28" t="s">
        <v>608</v>
      </c>
      <c r="S11" s="28" t="s">
        <v>608</v>
      </c>
      <c r="T11" s="28" t="s">
        <v>608</v>
      </c>
      <c r="U11" s="28" t="s">
        <v>6505</v>
      </c>
      <c r="V11" s="226" t="s">
        <v>6512</v>
      </c>
      <c r="W11" s="6" t="s">
        <v>6513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6514</v>
      </c>
      <c r="B12" s="6" t="s">
        <v>6515</v>
      </c>
      <c r="C12" s="222"/>
      <c r="D12" s="224" t="n">
        <v>5</v>
      </c>
      <c r="E12" s="224" t="n">
        <v>7</v>
      </c>
      <c r="F12" s="28" t="s">
        <v>6499</v>
      </c>
      <c r="G12" s="222" t="s">
        <v>6500</v>
      </c>
      <c r="H12" s="28" t="s">
        <v>169</v>
      </c>
      <c r="I12" s="28" t="s">
        <v>6501</v>
      </c>
      <c r="J12" s="6" t="s">
        <v>6502</v>
      </c>
      <c r="K12" s="222" t="n">
        <v>3</v>
      </c>
      <c r="L12" s="222" t="s">
        <v>6461</v>
      </c>
      <c r="M12" s="19" t="s">
        <v>6503</v>
      </c>
      <c r="N12" s="222" t="s">
        <v>6474</v>
      </c>
      <c r="O12" s="28" t="s">
        <v>6510</v>
      </c>
      <c r="P12" s="28" t="s">
        <v>608</v>
      </c>
      <c r="Q12" s="28" t="s">
        <v>6516</v>
      </c>
      <c r="R12" s="28" t="s">
        <v>608</v>
      </c>
      <c r="S12" s="28" t="s">
        <v>608</v>
      </c>
      <c r="T12" s="28" t="s">
        <v>608</v>
      </c>
      <c r="U12" s="28" t="s">
        <v>6505</v>
      </c>
      <c r="V12" s="6" t="s">
        <v>608</v>
      </c>
      <c r="W12" s="19" t="s">
        <v>6517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6518</v>
      </c>
      <c r="B13" s="6" t="s">
        <v>6519</v>
      </c>
      <c r="C13" s="222"/>
      <c r="D13" s="224" t="n">
        <v>132</v>
      </c>
      <c r="E13" s="224" t="n">
        <v>140</v>
      </c>
      <c r="F13" s="28" t="s">
        <v>6483</v>
      </c>
      <c r="G13" s="222" t="s">
        <v>6520</v>
      </c>
      <c r="H13" s="28" t="s">
        <v>168</v>
      </c>
      <c r="I13" s="28" t="s">
        <v>1214</v>
      </c>
      <c r="J13" s="6" t="s">
        <v>6521</v>
      </c>
      <c r="K13" s="222" t="n">
        <v>3</v>
      </c>
      <c r="L13" s="222" t="s">
        <v>6461</v>
      </c>
      <c r="M13" s="6" t="s">
        <v>6522</v>
      </c>
      <c r="N13" s="222" t="s">
        <v>6474</v>
      </c>
      <c r="O13" s="28" t="s">
        <v>6464</v>
      </c>
      <c r="P13" s="28" t="s">
        <v>608</v>
      </c>
      <c r="Q13" s="28" t="s">
        <v>6523</v>
      </c>
      <c r="R13" s="28" t="s">
        <v>608</v>
      </c>
      <c r="S13" s="28" t="s">
        <v>608</v>
      </c>
      <c r="T13" s="28" t="s">
        <v>608</v>
      </c>
      <c r="U13" s="28" t="s">
        <v>6524</v>
      </c>
      <c r="V13" s="6" t="s">
        <v>6525</v>
      </c>
      <c r="W13" s="6" t="s">
        <v>608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4102</v>
      </c>
      <c r="B14" s="6" t="s">
        <v>6526</v>
      </c>
      <c r="C14" s="224" t="n">
        <v>5</v>
      </c>
      <c r="D14" s="222"/>
      <c r="E14" s="222"/>
      <c r="F14" s="28" t="s">
        <v>6499</v>
      </c>
      <c r="G14" s="222" t="s">
        <v>6527</v>
      </c>
      <c r="H14" s="28" t="s">
        <v>168</v>
      </c>
      <c r="I14" s="28" t="s">
        <v>1214</v>
      </c>
      <c r="J14" s="6" t="s">
        <v>6528</v>
      </c>
      <c r="K14" s="222" t="n">
        <v>2</v>
      </c>
      <c r="L14" s="222" t="s">
        <v>6461</v>
      </c>
      <c r="M14" s="19" t="s">
        <v>6529</v>
      </c>
      <c r="N14" s="222" t="s">
        <v>6474</v>
      </c>
      <c r="O14" s="28" t="s">
        <v>6464</v>
      </c>
      <c r="P14" s="28" t="s">
        <v>608</v>
      </c>
      <c r="Q14" s="28" t="s">
        <v>6530</v>
      </c>
      <c r="R14" s="28" t="s">
        <v>608</v>
      </c>
      <c r="S14" s="28" t="s">
        <v>3338</v>
      </c>
      <c r="T14" s="28" t="s">
        <v>608</v>
      </c>
      <c r="U14" s="28" t="s">
        <v>6531</v>
      </c>
      <c r="V14" s="6" t="s">
        <v>6532</v>
      </c>
      <c r="W14" s="6" t="s">
        <v>6533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4020</v>
      </c>
      <c r="B15" s="6" t="s">
        <v>6534</v>
      </c>
      <c r="C15" s="224" t="n">
        <v>188</v>
      </c>
      <c r="D15" s="222"/>
      <c r="E15" s="222"/>
      <c r="F15" s="28" t="s">
        <v>6483</v>
      </c>
      <c r="G15" s="222" t="s">
        <v>6535</v>
      </c>
      <c r="H15" s="28" t="s">
        <v>169</v>
      </c>
      <c r="I15" s="28" t="s">
        <v>6471</v>
      </c>
      <c r="J15" s="6" t="s">
        <v>6536</v>
      </c>
      <c r="K15" s="222" t="n">
        <v>1</v>
      </c>
      <c r="L15" s="222" t="s">
        <v>6461</v>
      </c>
      <c r="M15" s="19" t="s">
        <v>6537</v>
      </c>
      <c r="N15" s="222" t="s">
        <v>6463</v>
      </c>
      <c r="O15" s="28" t="s">
        <v>6464</v>
      </c>
      <c r="P15" s="28" t="s">
        <v>608</v>
      </c>
      <c r="Q15" s="28" t="s">
        <v>6538</v>
      </c>
      <c r="R15" s="28" t="s">
        <v>608</v>
      </c>
      <c r="S15" s="28" t="s">
        <v>6041</v>
      </c>
      <c r="T15" s="28" t="s">
        <v>608</v>
      </c>
      <c r="U15" s="28" t="s">
        <v>6539</v>
      </c>
      <c r="V15" s="6" t="s">
        <v>6540</v>
      </c>
      <c r="W15" s="6" t="s">
        <v>6541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4051</v>
      </c>
      <c r="B16" s="6" t="s">
        <v>6542</v>
      </c>
      <c r="C16" s="224" t="n">
        <v>230</v>
      </c>
      <c r="D16" s="222"/>
      <c r="E16" s="222"/>
      <c r="F16" s="28" t="s">
        <v>6483</v>
      </c>
      <c r="G16" s="222" t="s">
        <v>6543</v>
      </c>
      <c r="H16" s="28" t="s">
        <v>169</v>
      </c>
      <c r="I16" s="28" t="s">
        <v>6471</v>
      </c>
      <c r="J16" s="6" t="s">
        <v>6544</v>
      </c>
      <c r="K16" s="222" t="n">
        <v>3</v>
      </c>
      <c r="L16" s="222" t="s">
        <v>6461</v>
      </c>
      <c r="M16" s="19" t="s">
        <v>6537</v>
      </c>
      <c r="N16" s="222" t="s">
        <v>6474</v>
      </c>
      <c r="O16" s="28" t="s">
        <v>6464</v>
      </c>
      <c r="P16" s="28" t="s">
        <v>608</v>
      </c>
      <c r="Q16" s="28" t="s">
        <v>6545</v>
      </c>
      <c r="R16" s="28" t="s">
        <v>608</v>
      </c>
      <c r="S16" s="28" t="s">
        <v>608</v>
      </c>
      <c r="T16" s="28" t="s">
        <v>608</v>
      </c>
      <c r="U16" s="28" t="s">
        <v>6539</v>
      </c>
      <c r="V16" s="6" t="s">
        <v>6546</v>
      </c>
      <c r="W16" s="6" t="s">
        <v>3841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6547</v>
      </c>
      <c r="B17" s="6" t="s">
        <v>6548</v>
      </c>
      <c r="C17" s="224" t="n">
        <v>600</v>
      </c>
      <c r="D17" s="222"/>
      <c r="E17" s="222"/>
      <c r="F17" s="28" t="s">
        <v>6483</v>
      </c>
      <c r="G17" s="222" t="s">
        <v>6549</v>
      </c>
      <c r="H17" s="28" t="s">
        <v>6550</v>
      </c>
      <c r="I17" s="28" t="s">
        <v>6471</v>
      </c>
      <c r="J17" s="6" t="s">
        <v>6544</v>
      </c>
      <c r="K17" s="222" t="n">
        <v>3</v>
      </c>
      <c r="L17" s="222" t="s">
        <v>6461</v>
      </c>
      <c r="M17" s="19" t="s">
        <v>6537</v>
      </c>
      <c r="N17" s="222" t="s">
        <v>6474</v>
      </c>
      <c r="O17" s="28" t="s">
        <v>6551</v>
      </c>
      <c r="P17" s="28" t="s">
        <v>6552</v>
      </c>
      <c r="Q17" s="28" t="s">
        <v>6545</v>
      </c>
      <c r="R17" s="28" t="s">
        <v>608</v>
      </c>
      <c r="S17" s="28" t="s">
        <v>608</v>
      </c>
      <c r="T17" s="28" t="s">
        <v>608</v>
      </c>
      <c r="U17" s="28" t="s">
        <v>6539</v>
      </c>
      <c r="V17" s="6" t="s">
        <v>6553</v>
      </c>
      <c r="W17" s="19" t="s">
        <v>6554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4038</v>
      </c>
      <c r="B18" s="6" t="s">
        <v>6555</v>
      </c>
      <c r="C18" s="224" t="n">
        <v>227</v>
      </c>
      <c r="D18" s="222"/>
      <c r="E18" s="222"/>
      <c r="F18" s="28" t="s">
        <v>6483</v>
      </c>
      <c r="G18" s="28" t="s">
        <v>6556</v>
      </c>
      <c r="H18" s="28" t="s">
        <v>169</v>
      </c>
      <c r="I18" s="28" t="s">
        <v>1211</v>
      </c>
      <c r="J18" s="6" t="s">
        <v>6557</v>
      </c>
      <c r="K18" s="222" t="n">
        <v>1</v>
      </c>
      <c r="L18" s="222" t="s">
        <v>6461</v>
      </c>
      <c r="M18" s="6" t="s">
        <v>6558</v>
      </c>
      <c r="N18" s="222" t="s">
        <v>6463</v>
      </c>
      <c r="O18" s="28" t="s">
        <v>6464</v>
      </c>
      <c r="P18" s="28" t="s">
        <v>608</v>
      </c>
      <c r="Q18" s="28" t="s">
        <v>6559</v>
      </c>
      <c r="R18" s="28" t="s">
        <v>6560</v>
      </c>
      <c r="S18" s="28" t="s">
        <v>6041</v>
      </c>
      <c r="T18" s="28" t="s">
        <v>608</v>
      </c>
      <c r="U18" s="28" t="s">
        <v>6561</v>
      </c>
      <c r="V18" s="6" t="s">
        <v>6562</v>
      </c>
      <c r="W18" s="6" t="s">
        <v>6563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4068</v>
      </c>
      <c r="B19" s="6" t="s">
        <v>6564</v>
      </c>
      <c r="C19" s="224" t="n">
        <v>7.8</v>
      </c>
      <c r="D19" s="222"/>
      <c r="E19" s="222"/>
      <c r="F19" s="28" t="s">
        <v>6499</v>
      </c>
      <c r="G19" s="222" t="s">
        <v>6565</v>
      </c>
      <c r="H19" s="28" t="s">
        <v>169</v>
      </c>
      <c r="I19" s="28" t="s">
        <v>6566</v>
      </c>
      <c r="J19" s="6" t="s">
        <v>6567</v>
      </c>
      <c r="K19" s="222" t="n">
        <v>2</v>
      </c>
      <c r="L19" s="222" t="s">
        <v>6568</v>
      </c>
      <c r="M19" s="6" t="s">
        <v>6569</v>
      </c>
      <c r="N19" s="222" t="s">
        <v>6474</v>
      </c>
      <c r="O19" s="28" t="s">
        <v>6464</v>
      </c>
      <c r="P19" s="28" t="s">
        <v>608</v>
      </c>
      <c r="Q19" s="28" t="s">
        <v>6570</v>
      </c>
      <c r="R19" s="28" t="s">
        <v>608</v>
      </c>
      <c r="S19" s="28" t="s">
        <v>6041</v>
      </c>
      <c r="T19" s="28" t="s">
        <v>608</v>
      </c>
      <c r="U19" s="28" t="s">
        <v>6571</v>
      </c>
      <c r="V19" s="6" t="s">
        <v>6572</v>
      </c>
      <c r="W19" s="6" t="s">
        <v>6573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6574</v>
      </c>
      <c r="B20" s="6" t="s">
        <v>6575</v>
      </c>
      <c r="C20" s="224" t="n">
        <v>6.7</v>
      </c>
      <c r="D20" s="222"/>
      <c r="E20" s="222"/>
      <c r="F20" s="28" t="s">
        <v>6499</v>
      </c>
      <c r="G20" s="222" t="s">
        <v>6576</v>
      </c>
      <c r="H20" s="28" t="s">
        <v>169</v>
      </c>
      <c r="I20" s="28" t="s">
        <v>6566</v>
      </c>
      <c r="J20" s="6" t="s">
        <v>6567</v>
      </c>
      <c r="K20" s="222" t="n">
        <v>3</v>
      </c>
      <c r="L20" s="222" t="s">
        <v>6568</v>
      </c>
      <c r="M20" s="6" t="s">
        <v>6577</v>
      </c>
      <c r="N20" s="222" t="s">
        <v>6474</v>
      </c>
      <c r="O20" s="28" t="s">
        <v>6510</v>
      </c>
      <c r="P20" s="28" t="s">
        <v>608</v>
      </c>
      <c r="Q20" s="28" t="s">
        <v>6578</v>
      </c>
      <c r="R20" s="28" t="s">
        <v>608</v>
      </c>
      <c r="S20" s="28" t="s">
        <v>608</v>
      </c>
      <c r="T20" s="28" t="s">
        <v>608</v>
      </c>
      <c r="U20" s="28" t="s">
        <v>6571</v>
      </c>
      <c r="V20" s="6" t="s">
        <v>6579</v>
      </c>
      <c r="W20" s="19" t="s">
        <v>6580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4105</v>
      </c>
      <c r="B21" s="6" t="s">
        <v>6581</v>
      </c>
      <c r="C21" s="224" t="n">
        <v>9.09</v>
      </c>
      <c r="D21" s="222"/>
      <c r="E21" s="222"/>
      <c r="F21" s="28" t="s">
        <v>6499</v>
      </c>
      <c r="G21" s="222" t="s">
        <v>6582</v>
      </c>
      <c r="H21" s="28" t="s">
        <v>169</v>
      </c>
      <c r="I21" s="28" t="s">
        <v>6485</v>
      </c>
      <c r="J21" s="6" t="s">
        <v>6583</v>
      </c>
      <c r="K21" s="222" t="n">
        <v>2</v>
      </c>
      <c r="L21" s="222" t="s">
        <v>6568</v>
      </c>
      <c r="M21" s="6" t="s">
        <v>6577</v>
      </c>
      <c r="N21" s="222" t="s">
        <v>6474</v>
      </c>
      <c r="O21" s="28" t="s">
        <v>6510</v>
      </c>
      <c r="P21" s="28" t="s">
        <v>608</v>
      </c>
      <c r="Q21" s="28" t="s">
        <v>6584</v>
      </c>
      <c r="R21" s="28" t="s">
        <v>608</v>
      </c>
      <c r="S21" s="28" t="s">
        <v>3338</v>
      </c>
      <c r="T21" s="28" t="s">
        <v>608</v>
      </c>
      <c r="U21" s="28" t="s">
        <v>6571</v>
      </c>
      <c r="V21" s="6" t="s">
        <v>6585</v>
      </c>
      <c r="W21" s="19" t="s">
        <v>6586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6587</v>
      </c>
      <c r="B22" s="6" t="s">
        <v>6588</v>
      </c>
      <c r="C22" s="224" t="n">
        <v>1</v>
      </c>
      <c r="D22" s="222"/>
      <c r="E22" s="222"/>
      <c r="F22" s="28" t="s">
        <v>6499</v>
      </c>
      <c r="G22" s="222" t="s">
        <v>6549</v>
      </c>
      <c r="H22" s="28" t="s">
        <v>169</v>
      </c>
      <c r="I22" s="28" t="s">
        <v>6471</v>
      </c>
      <c r="J22" s="6" t="s">
        <v>6589</v>
      </c>
      <c r="K22" s="222" t="n">
        <v>3</v>
      </c>
      <c r="L22" s="222" t="s">
        <v>6461</v>
      </c>
      <c r="M22" s="6" t="s">
        <v>6590</v>
      </c>
      <c r="N22" s="222" t="s">
        <v>6474</v>
      </c>
      <c r="O22" s="28" t="s">
        <v>6510</v>
      </c>
      <c r="P22" s="28" t="s">
        <v>608</v>
      </c>
      <c r="Q22" s="28" t="s">
        <v>6591</v>
      </c>
      <c r="R22" s="28" t="s">
        <v>608</v>
      </c>
      <c r="S22" s="28" t="s">
        <v>608</v>
      </c>
      <c r="T22" s="28" t="s">
        <v>608</v>
      </c>
      <c r="U22" s="28" t="s">
        <v>6592</v>
      </c>
      <c r="V22" s="6" t="s">
        <v>608</v>
      </c>
      <c r="W22" s="19" t="s">
        <v>6593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4279</v>
      </c>
      <c r="B23" s="6" t="s">
        <v>6594</v>
      </c>
      <c r="C23" s="224" t="n">
        <v>0.989</v>
      </c>
      <c r="D23" s="222"/>
      <c r="E23" s="222"/>
      <c r="F23" s="28" t="s">
        <v>464</v>
      </c>
      <c r="G23" s="28" t="s">
        <v>6595</v>
      </c>
      <c r="H23" s="28" t="s">
        <v>166</v>
      </c>
      <c r="I23" s="28" t="s">
        <v>6596</v>
      </c>
      <c r="J23" s="19" t="s">
        <v>6597</v>
      </c>
      <c r="K23" s="222" t="n">
        <v>3</v>
      </c>
      <c r="L23" s="222" t="s">
        <v>6461</v>
      </c>
      <c r="M23" s="6" t="s">
        <v>6598</v>
      </c>
      <c r="N23" s="222" t="s">
        <v>6599</v>
      </c>
      <c r="O23" s="28" t="s">
        <v>6464</v>
      </c>
      <c r="P23" s="28" t="s">
        <v>608</v>
      </c>
      <c r="Q23" s="28" t="s">
        <v>6600</v>
      </c>
      <c r="R23" s="28" t="s">
        <v>608</v>
      </c>
      <c r="S23" s="28" t="s">
        <v>608</v>
      </c>
      <c r="T23" s="28" t="s">
        <v>608</v>
      </c>
      <c r="U23" s="28" t="s">
        <v>6601</v>
      </c>
      <c r="V23" s="6" t="s">
        <v>6602</v>
      </c>
      <c r="W23" s="6" t="s">
        <v>6603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4145</v>
      </c>
      <c r="B24" s="6" t="s">
        <v>6604</v>
      </c>
      <c r="C24" s="224" t="n">
        <v>80</v>
      </c>
      <c r="D24" s="222"/>
      <c r="E24" s="222"/>
      <c r="F24" s="28" t="s">
        <v>717</v>
      </c>
      <c r="G24" s="28" t="s">
        <v>608</v>
      </c>
      <c r="H24" s="28" t="s">
        <v>166</v>
      </c>
      <c r="I24" s="28" t="s">
        <v>6596</v>
      </c>
      <c r="J24" s="19" t="s">
        <v>6597</v>
      </c>
      <c r="K24" s="222" t="n">
        <v>3</v>
      </c>
      <c r="L24" s="222" t="s">
        <v>6461</v>
      </c>
      <c r="M24" s="6" t="s">
        <v>6598</v>
      </c>
      <c r="N24" s="222" t="s">
        <v>6599</v>
      </c>
      <c r="O24" s="28" t="s">
        <v>6464</v>
      </c>
      <c r="P24" s="28" t="s">
        <v>608</v>
      </c>
      <c r="Q24" s="28" t="s">
        <v>6600</v>
      </c>
      <c r="R24" s="28" t="s">
        <v>608</v>
      </c>
      <c r="S24" s="28" t="s">
        <v>608</v>
      </c>
      <c r="T24" s="28" t="s">
        <v>608</v>
      </c>
      <c r="U24" s="28" t="s">
        <v>6601</v>
      </c>
      <c r="V24" s="6" t="s">
        <v>6605</v>
      </c>
      <c r="W24" s="6" t="s">
        <v>608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4161</v>
      </c>
      <c r="B25" s="6" t="s">
        <v>6606</v>
      </c>
      <c r="C25" s="224" t="n">
        <v>3.35</v>
      </c>
      <c r="D25" s="222"/>
      <c r="E25" s="222"/>
      <c r="F25" s="28" t="s">
        <v>348</v>
      </c>
      <c r="G25" s="28" t="s">
        <v>608</v>
      </c>
      <c r="H25" s="28" t="s">
        <v>166</v>
      </c>
      <c r="I25" s="28" t="s">
        <v>6596</v>
      </c>
      <c r="J25" s="19" t="s">
        <v>6597</v>
      </c>
      <c r="K25" s="222" t="n">
        <v>3</v>
      </c>
      <c r="L25" s="222" t="s">
        <v>6461</v>
      </c>
      <c r="M25" s="6" t="s">
        <v>6598</v>
      </c>
      <c r="N25" s="222" t="s">
        <v>6599</v>
      </c>
      <c r="O25" s="28" t="s">
        <v>6464</v>
      </c>
      <c r="P25" s="28" t="s">
        <v>608</v>
      </c>
      <c r="Q25" s="28" t="s">
        <v>6600</v>
      </c>
      <c r="R25" s="28" t="s">
        <v>608</v>
      </c>
      <c r="S25" s="28" t="s">
        <v>608</v>
      </c>
      <c r="T25" s="28" t="s">
        <v>608</v>
      </c>
      <c r="U25" s="28" t="s">
        <v>6601</v>
      </c>
      <c r="V25" s="6" t="s">
        <v>6607</v>
      </c>
      <c r="W25" s="6" t="s">
        <v>608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4116</v>
      </c>
      <c r="B26" s="6" t="s">
        <v>6608</v>
      </c>
      <c r="C26" s="224" t="n">
        <v>10</v>
      </c>
      <c r="D26" s="222"/>
      <c r="E26" s="222"/>
      <c r="F26" s="28" t="s">
        <v>464</v>
      </c>
      <c r="G26" s="28" t="s">
        <v>6595</v>
      </c>
      <c r="H26" s="28" t="s">
        <v>167</v>
      </c>
      <c r="I26" s="28" t="s">
        <v>6596</v>
      </c>
      <c r="J26" s="19" t="s">
        <v>6597</v>
      </c>
      <c r="K26" s="222" t="n">
        <v>1</v>
      </c>
      <c r="L26" s="222" t="s">
        <v>6461</v>
      </c>
      <c r="M26" s="6" t="s">
        <v>6598</v>
      </c>
      <c r="N26" s="222" t="s">
        <v>6463</v>
      </c>
      <c r="O26" s="28" t="s">
        <v>6464</v>
      </c>
      <c r="P26" s="28" t="s">
        <v>608</v>
      </c>
      <c r="Q26" s="28" t="s">
        <v>6609</v>
      </c>
      <c r="R26" s="28" t="s">
        <v>608</v>
      </c>
      <c r="S26" s="28" t="s">
        <v>6041</v>
      </c>
      <c r="T26" s="28" t="s">
        <v>608</v>
      </c>
      <c r="U26" s="28" t="s">
        <v>6601</v>
      </c>
      <c r="V26" s="6" t="s">
        <v>6610</v>
      </c>
      <c r="W26" s="19" t="s">
        <v>6611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4164</v>
      </c>
      <c r="B27" s="6" t="s">
        <v>6612</v>
      </c>
      <c r="C27" s="224" t="n">
        <v>8</v>
      </c>
      <c r="D27" s="222"/>
      <c r="E27" s="222"/>
      <c r="F27" s="28" t="s">
        <v>348</v>
      </c>
      <c r="G27" s="28" t="s">
        <v>608</v>
      </c>
      <c r="H27" s="28" t="s">
        <v>167</v>
      </c>
      <c r="I27" s="28" t="s">
        <v>6596</v>
      </c>
      <c r="J27" s="19" t="s">
        <v>6597</v>
      </c>
      <c r="K27" s="222" t="n">
        <v>3</v>
      </c>
      <c r="L27" s="222" t="s">
        <v>6461</v>
      </c>
      <c r="M27" s="6" t="s">
        <v>6598</v>
      </c>
      <c r="N27" s="222" t="s">
        <v>6599</v>
      </c>
      <c r="O27" s="28" t="s">
        <v>6464</v>
      </c>
      <c r="P27" s="28" t="s">
        <v>608</v>
      </c>
      <c r="Q27" s="28" t="s">
        <v>6600</v>
      </c>
      <c r="R27" s="28" t="s">
        <v>608</v>
      </c>
      <c r="S27" s="28" t="s">
        <v>608</v>
      </c>
      <c r="T27" s="28" t="s">
        <v>608</v>
      </c>
      <c r="U27" s="28" t="s">
        <v>6601</v>
      </c>
      <c r="V27" s="6" t="s">
        <v>6613</v>
      </c>
      <c r="W27" s="6" t="s">
        <v>608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6614</v>
      </c>
      <c r="B28" s="6" t="s">
        <v>6615</v>
      </c>
      <c r="C28" s="224" t="n">
        <v>186</v>
      </c>
      <c r="D28" s="222"/>
      <c r="E28" s="222"/>
      <c r="F28" s="28" t="s">
        <v>717</v>
      </c>
      <c r="G28" s="28" t="s">
        <v>608</v>
      </c>
      <c r="H28" s="28" t="s">
        <v>167</v>
      </c>
      <c r="I28" s="28" t="s">
        <v>6596</v>
      </c>
      <c r="J28" s="19" t="s">
        <v>6597</v>
      </c>
      <c r="K28" s="222" t="n">
        <v>3</v>
      </c>
      <c r="L28" s="222" t="s">
        <v>6461</v>
      </c>
      <c r="M28" s="6" t="s">
        <v>6598</v>
      </c>
      <c r="N28" s="222" t="s">
        <v>6599</v>
      </c>
      <c r="O28" s="28" t="s">
        <v>6510</v>
      </c>
      <c r="P28" s="28" t="s">
        <v>608</v>
      </c>
      <c r="Q28" s="28" t="s">
        <v>6600</v>
      </c>
      <c r="R28" s="28" t="s">
        <v>608</v>
      </c>
      <c r="S28" s="28" t="s">
        <v>608</v>
      </c>
      <c r="T28" s="28" t="s">
        <v>608</v>
      </c>
      <c r="U28" s="28" t="s">
        <v>6601</v>
      </c>
      <c r="V28" s="6" t="s">
        <v>608</v>
      </c>
      <c r="W28" s="19" t="s">
        <v>6616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4118</v>
      </c>
      <c r="B29" s="6" t="s">
        <v>6617</v>
      </c>
      <c r="C29" s="224" t="n">
        <v>15</v>
      </c>
      <c r="D29" s="222"/>
      <c r="E29" s="222"/>
      <c r="F29" s="28" t="s">
        <v>464</v>
      </c>
      <c r="G29" s="28" t="s">
        <v>6595</v>
      </c>
      <c r="H29" s="28" t="s">
        <v>168</v>
      </c>
      <c r="I29" s="28" t="s">
        <v>6596</v>
      </c>
      <c r="J29" s="19" t="s">
        <v>6597</v>
      </c>
      <c r="K29" s="222" t="n">
        <v>1</v>
      </c>
      <c r="L29" s="222" t="s">
        <v>6461</v>
      </c>
      <c r="M29" s="6" t="s">
        <v>6598</v>
      </c>
      <c r="N29" s="222" t="s">
        <v>6463</v>
      </c>
      <c r="O29" s="28" t="s">
        <v>6464</v>
      </c>
      <c r="P29" s="28" t="s">
        <v>608</v>
      </c>
      <c r="Q29" s="28" t="s">
        <v>6618</v>
      </c>
      <c r="R29" s="28" t="s">
        <v>608</v>
      </c>
      <c r="S29" s="28" t="s">
        <v>6041</v>
      </c>
      <c r="T29" s="28" t="s">
        <v>608</v>
      </c>
      <c r="U29" s="28" t="s">
        <v>6601</v>
      </c>
      <c r="V29" s="6" t="s">
        <v>6619</v>
      </c>
      <c r="W29" s="6" t="s">
        <v>6620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4152</v>
      </c>
      <c r="B30" s="6" t="s">
        <v>6621</v>
      </c>
      <c r="C30" s="224" t="n">
        <v>288</v>
      </c>
      <c r="D30" s="222"/>
      <c r="E30" s="222"/>
      <c r="F30" s="28" t="s">
        <v>717</v>
      </c>
      <c r="G30" s="28" t="s">
        <v>608</v>
      </c>
      <c r="H30" s="28" t="s">
        <v>168</v>
      </c>
      <c r="I30" s="28" t="s">
        <v>6596</v>
      </c>
      <c r="J30" s="19" t="s">
        <v>6597</v>
      </c>
      <c r="K30" s="222" t="n">
        <v>3</v>
      </c>
      <c r="L30" s="222" t="s">
        <v>6461</v>
      </c>
      <c r="M30" s="6" t="s">
        <v>6598</v>
      </c>
      <c r="N30" s="222" t="s">
        <v>6599</v>
      </c>
      <c r="O30" s="28" t="s">
        <v>6464</v>
      </c>
      <c r="P30" s="28" t="s">
        <v>608</v>
      </c>
      <c r="Q30" s="28" t="s">
        <v>6600</v>
      </c>
      <c r="R30" s="28" t="s">
        <v>608</v>
      </c>
      <c r="S30" s="28" t="s">
        <v>608</v>
      </c>
      <c r="T30" s="28" t="s">
        <v>608</v>
      </c>
      <c r="U30" s="28" t="s">
        <v>6601</v>
      </c>
      <c r="V30" s="6" t="s">
        <v>6622</v>
      </c>
      <c r="W30" s="6" t="s">
        <v>608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4137</v>
      </c>
      <c r="B31" s="6" t="s">
        <v>6623</v>
      </c>
      <c r="C31" s="224" t="n">
        <v>50</v>
      </c>
      <c r="D31" s="222"/>
      <c r="E31" s="222"/>
      <c r="F31" s="28" t="s">
        <v>464</v>
      </c>
      <c r="G31" s="222" t="s">
        <v>6624</v>
      </c>
      <c r="H31" s="28" t="s">
        <v>169</v>
      </c>
      <c r="I31" s="28" t="s">
        <v>6596</v>
      </c>
      <c r="J31" s="19" t="s">
        <v>6597</v>
      </c>
      <c r="K31" s="222" t="n">
        <v>1</v>
      </c>
      <c r="L31" s="222" t="s">
        <v>6461</v>
      </c>
      <c r="M31" s="6" t="s">
        <v>6598</v>
      </c>
      <c r="N31" s="222" t="s">
        <v>6463</v>
      </c>
      <c r="O31" s="28" t="s">
        <v>6464</v>
      </c>
      <c r="P31" s="28" t="s">
        <v>608</v>
      </c>
      <c r="Q31" s="28" t="s">
        <v>6625</v>
      </c>
      <c r="R31" s="28" t="s">
        <v>608</v>
      </c>
      <c r="S31" s="28" t="s">
        <v>6041</v>
      </c>
      <c r="T31" s="28" t="s">
        <v>608</v>
      </c>
      <c r="U31" s="28" t="s">
        <v>6601</v>
      </c>
      <c r="V31" s="6" t="s">
        <v>6626</v>
      </c>
      <c r="W31" s="6" t="s">
        <v>6627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4120</v>
      </c>
      <c r="B32" s="6" t="s">
        <v>6628</v>
      </c>
      <c r="C32" s="224" t="n">
        <v>35</v>
      </c>
      <c r="D32" s="222"/>
      <c r="E32" s="222"/>
      <c r="F32" s="28" t="s">
        <v>464</v>
      </c>
      <c r="G32" s="28" t="s">
        <v>6595</v>
      </c>
      <c r="H32" s="28" t="s">
        <v>169</v>
      </c>
      <c r="I32" s="28" t="s">
        <v>6596</v>
      </c>
      <c r="J32" s="19" t="s">
        <v>6597</v>
      </c>
      <c r="K32" s="222" t="n">
        <v>1</v>
      </c>
      <c r="L32" s="222" t="s">
        <v>6461</v>
      </c>
      <c r="M32" s="6" t="s">
        <v>6598</v>
      </c>
      <c r="N32" s="222" t="s">
        <v>6463</v>
      </c>
      <c r="O32" s="28" t="s">
        <v>6464</v>
      </c>
      <c r="P32" s="28" t="s">
        <v>608</v>
      </c>
      <c r="Q32" s="28" t="s">
        <v>6629</v>
      </c>
      <c r="R32" s="28" t="s">
        <v>608</v>
      </c>
      <c r="S32" s="28" t="s">
        <v>6041</v>
      </c>
      <c r="T32" s="28" t="s">
        <v>608</v>
      </c>
      <c r="U32" s="28" t="s">
        <v>6601</v>
      </c>
      <c r="V32" s="6" t="s">
        <v>6630</v>
      </c>
      <c r="W32" s="19" t="s">
        <v>6631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4155</v>
      </c>
      <c r="B33" s="6" t="s">
        <v>6632</v>
      </c>
      <c r="C33" s="224" t="n">
        <v>288</v>
      </c>
      <c r="D33" s="222"/>
      <c r="E33" s="222"/>
      <c r="F33" s="28" t="s">
        <v>717</v>
      </c>
      <c r="G33" s="28" t="s">
        <v>608</v>
      </c>
      <c r="H33" s="28" t="s">
        <v>169</v>
      </c>
      <c r="I33" s="28" t="s">
        <v>6596</v>
      </c>
      <c r="J33" s="19" t="s">
        <v>6597</v>
      </c>
      <c r="K33" s="222" t="n">
        <v>3</v>
      </c>
      <c r="L33" s="222" t="s">
        <v>6461</v>
      </c>
      <c r="M33" s="6" t="s">
        <v>6598</v>
      </c>
      <c r="N33" s="222" t="s">
        <v>6599</v>
      </c>
      <c r="O33" s="28" t="s">
        <v>6464</v>
      </c>
      <c r="P33" s="28" t="s">
        <v>608</v>
      </c>
      <c r="Q33" s="28" t="s">
        <v>6600</v>
      </c>
      <c r="R33" s="28" t="s">
        <v>608</v>
      </c>
      <c r="S33" s="28" t="s">
        <v>608</v>
      </c>
      <c r="T33" s="28" t="s">
        <v>608</v>
      </c>
      <c r="U33" s="28" t="s">
        <v>6601</v>
      </c>
      <c r="V33" s="6" t="s">
        <v>6633</v>
      </c>
      <c r="W33" s="6" t="s">
        <v>608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4169</v>
      </c>
      <c r="B34" s="6" t="s">
        <v>6634</v>
      </c>
      <c r="C34" s="224" t="n">
        <v>22</v>
      </c>
      <c r="D34" s="222"/>
      <c r="E34" s="222"/>
      <c r="F34" s="28" t="s">
        <v>348</v>
      </c>
      <c r="G34" s="28" t="s">
        <v>6635</v>
      </c>
      <c r="H34" s="28" t="s">
        <v>169</v>
      </c>
      <c r="I34" s="28" t="s">
        <v>6596</v>
      </c>
      <c r="J34" s="19" t="s">
        <v>6597</v>
      </c>
      <c r="K34" s="222" t="n">
        <v>3</v>
      </c>
      <c r="L34" s="222" t="s">
        <v>6461</v>
      </c>
      <c r="M34" s="6" t="s">
        <v>6598</v>
      </c>
      <c r="N34" s="222" t="s">
        <v>6599</v>
      </c>
      <c r="O34" s="28" t="s">
        <v>6464</v>
      </c>
      <c r="P34" s="28" t="s">
        <v>608</v>
      </c>
      <c r="Q34" s="28" t="s">
        <v>6600</v>
      </c>
      <c r="R34" s="28" t="s">
        <v>608</v>
      </c>
      <c r="S34" s="28" t="s">
        <v>608</v>
      </c>
      <c r="T34" s="28" t="s">
        <v>608</v>
      </c>
      <c r="U34" s="28" t="s">
        <v>6601</v>
      </c>
      <c r="V34" s="6" t="s">
        <v>6636</v>
      </c>
      <c r="W34" s="6" t="s">
        <v>608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6637</v>
      </c>
      <c r="B35" s="6" t="s">
        <v>6638</v>
      </c>
      <c r="C35" s="224" t="n">
        <v>15000</v>
      </c>
      <c r="D35" s="222"/>
      <c r="E35" s="222"/>
      <c r="F35" s="28" t="s">
        <v>6639</v>
      </c>
      <c r="G35" s="28" t="s">
        <v>6640</v>
      </c>
      <c r="H35" s="28" t="s">
        <v>6550</v>
      </c>
      <c r="I35" s="28" t="s">
        <v>6596</v>
      </c>
      <c r="J35" s="19" t="s">
        <v>6597</v>
      </c>
      <c r="K35" s="222" t="n">
        <v>3</v>
      </c>
      <c r="L35" s="222" t="s">
        <v>6461</v>
      </c>
      <c r="M35" s="6" t="s">
        <v>6598</v>
      </c>
      <c r="N35" s="222" t="s">
        <v>6599</v>
      </c>
      <c r="O35" s="28" t="s">
        <v>6464</v>
      </c>
      <c r="P35" s="28" t="s">
        <v>608</v>
      </c>
      <c r="Q35" s="28" t="s">
        <v>6600</v>
      </c>
      <c r="R35" s="28" t="s">
        <v>608</v>
      </c>
      <c r="S35" s="28" t="s">
        <v>608</v>
      </c>
      <c r="T35" s="28" t="s">
        <v>608</v>
      </c>
      <c r="U35" s="28" t="s">
        <v>6601</v>
      </c>
      <c r="V35" s="6" t="s">
        <v>6641</v>
      </c>
      <c r="W35" s="6" t="s">
        <v>6642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4267</v>
      </c>
      <c r="B36" s="6" t="s">
        <v>6643</v>
      </c>
      <c r="C36" s="224" t="n">
        <v>3.9</v>
      </c>
      <c r="D36" s="222"/>
      <c r="E36" s="222"/>
      <c r="F36" s="28" t="s">
        <v>6644</v>
      </c>
      <c r="G36" s="222" t="s">
        <v>6645</v>
      </c>
      <c r="H36" s="28" t="s">
        <v>6646</v>
      </c>
      <c r="I36" s="28" t="s">
        <v>608</v>
      </c>
      <c r="J36" s="19" t="s">
        <v>6647</v>
      </c>
      <c r="K36" s="222" t="n">
        <v>3</v>
      </c>
      <c r="L36" s="222" t="s">
        <v>6568</v>
      </c>
      <c r="M36" s="19" t="s">
        <v>6648</v>
      </c>
      <c r="N36" s="28" t="s">
        <v>608</v>
      </c>
      <c r="O36" s="28" t="s">
        <v>6464</v>
      </c>
      <c r="P36" s="28" t="s">
        <v>608</v>
      </c>
      <c r="Q36" s="28" t="s">
        <v>6649</v>
      </c>
      <c r="R36" s="28" t="s">
        <v>608</v>
      </c>
      <c r="S36" s="28" t="s">
        <v>608</v>
      </c>
      <c r="T36" s="28" t="s">
        <v>608</v>
      </c>
      <c r="U36" s="28" t="s">
        <v>6650</v>
      </c>
      <c r="V36" s="6" t="s">
        <v>6651</v>
      </c>
      <c r="W36" s="6" t="s">
        <v>6652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4271</v>
      </c>
      <c r="B37" s="6" t="s">
        <v>6653</v>
      </c>
      <c r="C37" s="224" t="n">
        <v>3</v>
      </c>
      <c r="D37" s="222"/>
      <c r="E37" s="222"/>
      <c r="F37" s="28" t="s">
        <v>6644</v>
      </c>
      <c r="G37" s="222" t="s">
        <v>6645</v>
      </c>
      <c r="H37" s="28" t="s">
        <v>6654</v>
      </c>
      <c r="I37" s="28" t="s">
        <v>608</v>
      </c>
      <c r="J37" s="19" t="s">
        <v>6647</v>
      </c>
      <c r="K37" s="222" t="n">
        <v>3</v>
      </c>
      <c r="L37" s="222" t="s">
        <v>6568</v>
      </c>
      <c r="M37" s="19" t="s">
        <v>6648</v>
      </c>
      <c r="N37" s="28" t="s">
        <v>608</v>
      </c>
      <c r="O37" s="28" t="s">
        <v>6464</v>
      </c>
      <c r="P37" s="28" t="s">
        <v>608</v>
      </c>
      <c r="Q37" s="28" t="s">
        <v>6649</v>
      </c>
      <c r="R37" s="28" t="s">
        <v>608</v>
      </c>
      <c r="S37" s="28" t="s">
        <v>608</v>
      </c>
      <c r="T37" s="28" t="s">
        <v>608</v>
      </c>
      <c r="U37" s="28" t="s">
        <v>6650</v>
      </c>
      <c r="V37" s="6" t="s">
        <v>6655</v>
      </c>
      <c r="W37" s="6" t="s">
        <v>6656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4274</v>
      </c>
      <c r="B38" s="6" t="s">
        <v>6657</v>
      </c>
      <c r="C38" s="224" t="n">
        <v>2.5</v>
      </c>
      <c r="D38" s="222"/>
      <c r="E38" s="222"/>
      <c r="F38" s="28" t="s">
        <v>6644</v>
      </c>
      <c r="G38" s="222" t="s">
        <v>6645</v>
      </c>
      <c r="H38" s="28" t="s">
        <v>6658</v>
      </c>
      <c r="I38" s="28" t="s">
        <v>608</v>
      </c>
      <c r="J38" s="19" t="s">
        <v>6647</v>
      </c>
      <c r="K38" s="222" t="n">
        <v>3</v>
      </c>
      <c r="L38" s="222" t="s">
        <v>6568</v>
      </c>
      <c r="M38" s="19" t="s">
        <v>6648</v>
      </c>
      <c r="N38" s="28" t="s">
        <v>608</v>
      </c>
      <c r="O38" s="28" t="s">
        <v>6464</v>
      </c>
      <c r="P38" s="28" t="s">
        <v>608</v>
      </c>
      <c r="Q38" s="28" t="s">
        <v>6649</v>
      </c>
      <c r="R38" s="28" t="s">
        <v>608</v>
      </c>
      <c r="S38" s="28" t="s">
        <v>608</v>
      </c>
      <c r="T38" s="28" t="s">
        <v>608</v>
      </c>
      <c r="U38" s="28" t="s">
        <v>6650</v>
      </c>
      <c r="V38" s="6" t="s">
        <v>6659</v>
      </c>
      <c r="W38" s="6" t="s">
        <v>6660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4784</v>
      </c>
      <c r="B39" s="6" t="s">
        <v>6661</v>
      </c>
      <c r="C39" s="222"/>
      <c r="D39" s="224" t="n">
        <v>1</v>
      </c>
      <c r="E39" s="224" t="n">
        <v>2</v>
      </c>
      <c r="F39" s="28" t="s">
        <v>6644</v>
      </c>
      <c r="G39" s="222" t="s">
        <v>6645</v>
      </c>
      <c r="H39" s="28" t="s">
        <v>608</v>
      </c>
      <c r="I39" s="28" t="s">
        <v>608</v>
      </c>
      <c r="J39" s="19" t="s">
        <v>6647</v>
      </c>
      <c r="K39" s="222" t="n">
        <v>3</v>
      </c>
      <c r="L39" s="222" t="s">
        <v>6568</v>
      </c>
      <c r="M39" s="19" t="s">
        <v>6648</v>
      </c>
      <c r="N39" s="28" t="s">
        <v>608</v>
      </c>
      <c r="O39" s="28" t="s">
        <v>6464</v>
      </c>
      <c r="P39" s="28" t="s">
        <v>608</v>
      </c>
      <c r="Q39" s="28" t="s">
        <v>6649</v>
      </c>
      <c r="R39" s="28" t="s">
        <v>608</v>
      </c>
      <c r="S39" s="28" t="s">
        <v>608</v>
      </c>
      <c r="T39" s="28" t="s">
        <v>608</v>
      </c>
      <c r="U39" s="28" t="s">
        <v>6650</v>
      </c>
      <c r="V39" s="6" t="s">
        <v>608</v>
      </c>
      <c r="W39" s="6" t="s">
        <v>608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6662</v>
      </c>
      <c r="B40" s="6" t="s">
        <v>6663</v>
      </c>
      <c r="C40" s="224" t="n">
        <v>3600</v>
      </c>
      <c r="D40" s="222"/>
      <c r="E40" s="222"/>
      <c r="F40" s="28" t="s">
        <v>6639</v>
      </c>
      <c r="G40" s="28" t="s">
        <v>6664</v>
      </c>
      <c r="H40" s="28" t="s">
        <v>169</v>
      </c>
      <c r="I40" s="28" t="s">
        <v>6471</v>
      </c>
      <c r="J40" s="6" t="s">
        <v>6665</v>
      </c>
      <c r="K40" s="222" t="n">
        <v>2</v>
      </c>
      <c r="L40" s="222" t="s">
        <v>6461</v>
      </c>
      <c r="M40" s="6" t="s">
        <v>6666</v>
      </c>
      <c r="N40" s="222" t="s">
        <v>6667</v>
      </c>
      <c r="O40" s="28" t="s">
        <v>6464</v>
      </c>
      <c r="P40" s="28" t="s">
        <v>608</v>
      </c>
      <c r="Q40" s="28" t="s">
        <v>6668</v>
      </c>
      <c r="R40" s="28" t="s">
        <v>608</v>
      </c>
      <c r="S40" s="28" t="s">
        <v>608</v>
      </c>
      <c r="T40" s="28" t="s">
        <v>608</v>
      </c>
      <c r="U40" s="28" t="s">
        <v>6669</v>
      </c>
      <c r="V40" s="6" t="s">
        <v>6670</v>
      </c>
      <c r="W40" s="6" t="s">
        <v>6671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4309</v>
      </c>
      <c r="B41" s="6" t="s">
        <v>6672</v>
      </c>
      <c r="C41" s="224" t="n">
        <v>2520</v>
      </c>
      <c r="D41" s="222"/>
      <c r="E41" s="222"/>
      <c r="F41" s="28" t="s">
        <v>6639</v>
      </c>
      <c r="G41" s="28" t="s">
        <v>6664</v>
      </c>
      <c r="H41" s="28" t="s">
        <v>169</v>
      </c>
      <c r="I41" s="28" t="s">
        <v>6471</v>
      </c>
      <c r="J41" s="6" t="s">
        <v>6665</v>
      </c>
      <c r="K41" s="222" t="n">
        <v>2</v>
      </c>
      <c r="L41" s="222" t="s">
        <v>6461</v>
      </c>
      <c r="M41" s="6" t="s">
        <v>6666</v>
      </c>
      <c r="N41" s="222" t="s">
        <v>6667</v>
      </c>
      <c r="O41" s="28" t="s">
        <v>6464</v>
      </c>
      <c r="P41" s="28" t="s">
        <v>608</v>
      </c>
      <c r="Q41" s="28" t="s">
        <v>6668</v>
      </c>
      <c r="R41" s="28" t="s">
        <v>608</v>
      </c>
      <c r="S41" s="28" t="s">
        <v>608</v>
      </c>
      <c r="T41" s="28" t="s">
        <v>608</v>
      </c>
      <c r="U41" s="28" t="s">
        <v>6669</v>
      </c>
      <c r="V41" s="6" t="s">
        <v>6673</v>
      </c>
      <c r="W41" s="6" t="s">
        <v>6674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4299</v>
      </c>
      <c r="B42" s="6" t="s">
        <v>6675</v>
      </c>
      <c r="C42" s="224" t="n">
        <v>1260</v>
      </c>
      <c r="D42" s="222"/>
      <c r="E42" s="222"/>
      <c r="F42" s="28" t="s">
        <v>6639</v>
      </c>
      <c r="G42" s="28" t="s">
        <v>6664</v>
      </c>
      <c r="H42" s="28" t="s">
        <v>169</v>
      </c>
      <c r="I42" s="28" t="s">
        <v>6471</v>
      </c>
      <c r="J42" s="6" t="s">
        <v>6665</v>
      </c>
      <c r="K42" s="222" t="n">
        <v>2</v>
      </c>
      <c r="L42" s="222" t="s">
        <v>6461</v>
      </c>
      <c r="M42" s="6" t="s">
        <v>6666</v>
      </c>
      <c r="N42" s="222" t="s">
        <v>6667</v>
      </c>
      <c r="O42" s="28" t="s">
        <v>6464</v>
      </c>
      <c r="P42" s="28" t="s">
        <v>608</v>
      </c>
      <c r="Q42" s="28" t="s">
        <v>6668</v>
      </c>
      <c r="R42" s="28" t="s">
        <v>608</v>
      </c>
      <c r="S42" s="28" t="s">
        <v>608</v>
      </c>
      <c r="T42" s="28" t="s">
        <v>608</v>
      </c>
      <c r="U42" s="28" t="s">
        <v>6669</v>
      </c>
      <c r="V42" s="6" t="s">
        <v>6676</v>
      </c>
      <c r="W42" s="6" t="s">
        <v>6677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4287</v>
      </c>
      <c r="B43" s="6" t="s">
        <v>6678</v>
      </c>
      <c r="C43" s="224" t="n">
        <v>288</v>
      </c>
      <c r="D43" s="222"/>
      <c r="E43" s="222"/>
      <c r="F43" s="28" t="s">
        <v>6639</v>
      </c>
      <c r="G43" s="28" t="s">
        <v>6664</v>
      </c>
      <c r="H43" s="28" t="s">
        <v>169</v>
      </c>
      <c r="I43" s="28" t="s">
        <v>6471</v>
      </c>
      <c r="J43" s="6" t="s">
        <v>6665</v>
      </c>
      <c r="K43" s="222" t="n">
        <v>2</v>
      </c>
      <c r="L43" s="222" t="s">
        <v>6461</v>
      </c>
      <c r="M43" s="6" t="s">
        <v>6666</v>
      </c>
      <c r="N43" s="222" t="s">
        <v>6667</v>
      </c>
      <c r="O43" s="28" t="s">
        <v>6464</v>
      </c>
      <c r="P43" s="28" t="s">
        <v>608</v>
      </c>
      <c r="Q43" s="28" t="s">
        <v>6668</v>
      </c>
      <c r="R43" s="28" t="s">
        <v>608</v>
      </c>
      <c r="S43" s="28" t="s">
        <v>608</v>
      </c>
      <c r="T43" s="28" t="s">
        <v>608</v>
      </c>
      <c r="U43" s="28" t="s">
        <v>6669</v>
      </c>
      <c r="V43" s="6" t="s">
        <v>6679</v>
      </c>
      <c r="W43" s="6" t="s">
        <v>6680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4114</v>
      </c>
      <c r="B44" s="6" t="s">
        <v>6681</v>
      </c>
      <c r="C44" s="224" t="n">
        <v>1.979</v>
      </c>
      <c r="D44" s="222"/>
      <c r="E44" s="222"/>
      <c r="F44" s="28" t="s">
        <v>464</v>
      </c>
      <c r="G44" s="28" t="s">
        <v>6595</v>
      </c>
      <c r="H44" s="28" t="s">
        <v>166</v>
      </c>
      <c r="I44" s="28" t="s">
        <v>5801</v>
      </c>
      <c r="J44" s="6" t="s">
        <v>6682</v>
      </c>
      <c r="K44" s="222" t="n">
        <v>1</v>
      </c>
      <c r="L44" s="222" t="s">
        <v>6461</v>
      </c>
      <c r="M44" s="6" t="s">
        <v>6683</v>
      </c>
      <c r="N44" s="222" t="s">
        <v>6463</v>
      </c>
      <c r="O44" s="28" t="s">
        <v>6464</v>
      </c>
      <c r="P44" s="28" t="s">
        <v>608</v>
      </c>
      <c r="Q44" s="28" t="s">
        <v>6684</v>
      </c>
      <c r="R44" s="28" t="s">
        <v>608</v>
      </c>
      <c r="S44" s="28" t="s">
        <v>6041</v>
      </c>
      <c r="T44" s="28" t="s">
        <v>608</v>
      </c>
      <c r="U44" s="28" t="s">
        <v>6685</v>
      </c>
      <c r="V44" s="6" t="s">
        <v>6686</v>
      </c>
      <c r="W44" s="19" t="s">
        <v>6687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4148</v>
      </c>
      <c r="B45" s="6" t="s">
        <v>6688</v>
      </c>
      <c r="C45" s="224" t="n">
        <v>13.4</v>
      </c>
      <c r="D45" s="222"/>
      <c r="E45" s="222"/>
      <c r="F45" s="28" t="s">
        <v>6689</v>
      </c>
      <c r="G45" s="28" t="s">
        <v>6664</v>
      </c>
      <c r="H45" s="28" t="s">
        <v>167</v>
      </c>
      <c r="I45" s="28" t="s">
        <v>608</v>
      </c>
      <c r="J45" s="6" t="s">
        <v>6690</v>
      </c>
      <c r="K45" s="222" t="n">
        <v>3</v>
      </c>
      <c r="L45" s="222" t="s">
        <v>6461</v>
      </c>
      <c r="M45" s="6" t="s">
        <v>6691</v>
      </c>
      <c r="N45" s="222" t="s">
        <v>6599</v>
      </c>
      <c r="O45" s="28" t="s">
        <v>6464</v>
      </c>
      <c r="P45" s="28" t="s">
        <v>608</v>
      </c>
      <c r="Q45" s="28" t="s">
        <v>6692</v>
      </c>
      <c r="R45" s="28" t="s">
        <v>608</v>
      </c>
      <c r="S45" s="28" t="s">
        <v>608</v>
      </c>
      <c r="T45" s="28" t="s">
        <v>608</v>
      </c>
      <c r="U45" s="28" t="s">
        <v>6693</v>
      </c>
      <c r="V45" s="6" t="s">
        <v>6694</v>
      </c>
      <c r="W45" s="6" t="s">
        <v>6695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4282</v>
      </c>
      <c r="B46" s="6" t="s">
        <v>6696</v>
      </c>
      <c r="C46" s="224" t="n">
        <v>2.5</v>
      </c>
      <c r="D46" s="222"/>
      <c r="E46" s="222"/>
      <c r="F46" s="28" t="s">
        <v>464</v>
      </c>
      <c r="G46" s="28" t="s">
        <v>6595</v>
      </c>
      <c r="H46" s="28" t="s">
        <v>6697</v>
      </c>
      <c r="I46" s="28" t="s">
        <v>608</v>
      </c>
      <c r="J46" s="6" t="s">
        <v>6690</v>
      </c>
      <c r="K46" s="222" t="n">
        <v>3</v>
      </c>
      <c r="L46" s="222" t="s">
        <v>6461</v>
      </c>
      <c r="M46" s="6" t="s">
        <v>6691</v>
      </c>
      <c r="N46" s="222" t="s">
        <v>6599</v>
      </c>
      <c r="O46" s="28" t="s">
        <v>6464</v>
      </c>
      <c r="P46" s="28" t="s">
        <v>608</v>
      </c>
      <c r="Q46" s="28" t="s">
        <v>6692</v>
      </c>
      <c r="R46" s="28" t="s">
        <v>608</v>
      </c>
      <c r="S46" s="28" t="s">
        <v>608</v>
      </c>
      <c r="T46" s="28" t="s">
        <v>608</v>
      </c>
      <c r="U46" s="28" t="s">
        <v>6693</v>
      </c>
      <c r="V46" s="6" t="s">
        <v>6698</v>
      </c>
      <c r="W46" s="6" t="s">
        <v>608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4294</v>
      </c>
      <c r="B47" s="6" t="s">
        <v>6699</v>
      </c>
      <c r="C47" s="224" t="n">
        <v>5</v>
      </c>
      <c r="D47" s="222"/>
      <c r="E47" s="222"/>
      <c r="F47" s="28" t="s">
        <v>464</v>
      </c>
      <c r="G47" s="28" t="s">
        <v>6700</v>
      </c>
      <c r="H47" s="28" t="s">
        <v>6697</v>
      </c>
      <c r="I47" s="28" t="s">
        <v>608</v>
      </c>
      <c r="J47" s="6" t="s">
        <v>6690</v>
      </c>
      <c r="K47" s="222" t="n">
        <v>1</v>
      </c>
      <c r="L47" s="222" t="s">
        <v>6461</v>
      </c>
      <c r="M47" s="6" t="s">
        <v>6691</v>
      </c>
      <c r="N47" s="222" t="s">
        <v>6463</v>
      </c>
      <c r="O47" s="28" t="s">
        <v>6464</v>
      </c>
      <c r="P47" s="28" t="s">
        <v>608</v>
      </c>
      <c r="Q47" s="28" t="s">
        <v>6701</v>
      </c>
      <c r="R47" s="28" t="s">
        <v>608</v>
      </c>
      <c r="S47" s="28" t="s">
        <v>6041</v>
      </c>
      <c r="T47" s="28" t="s">
        <v>608</v>
      </c>
      <c r="U47" s="28" t="s">
        <v>6693</v>
      </c>
      <c r="V47" s="6" t="s">
        <v>6702</v>
      </c>
      <c r="W47" s="6" t="s">
        <v>6703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4172</v>
      </c>
      <c r="B48" s="6" t="s">
        <v>6704</v>
      </c>
      <c r="C48" s="224" t="n">
        <v>4600</v>
      </c>
      <c r="D48" s="222"/>
      <c r="E48" s="222"/>
      <c r="F48" s="28" t="s">
        <v>6705</v>
      </c>
      <c r="G48" s="28" t="s">
        <v>6640</v>
      </c>
      <c r="H48" s="28" t="s">
        <v>6550</v>
      </c>
      <c r="I48" s="28" t="s">
        <v>608</v>
      </c>
      <c r="J48" s="6" t="s">
        <v>6690</v>
      </c>
      <c r="K48" s="222" t="n">
        <v>3</v>
      </c>
      <c r="L48" s="222" t="s">
        <v>6461</v>
      </c>
      <c r="M48" s="6" t="s">
        <v>6691</v>
      </c>
      <c r="N48" s="222" t="s">
        <v>6599</v>
      </c>
      <c r="O48" s="28" t="s">
        <v>6464</v>
      </c>
      <c r="P48" s="28" t="s">
        <v>608</v>
      </c>
      <c r="Q48" s="28" t="s">
        <v>6692</v>
      </c>
      <c r="R48" s="28" t="s">
        <v>608</v>
      </c>
      <c r="S48" s="28" t="s">
        <v>608</v>
      </c>
      <c r="T48" s="28" t="s">
        <v>608</v>
      </c>
      <c r="U48" s="28" t="s">
        <v>6693</v>
      </c>
      <c r="V48" s="6" t="s">
        <v>6706</v>
      </c>
      <c r="W48" s="6" t="s">
        <v>6707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6708</v>
      </c>
      <c r="B49" s="6" t="s">
        <v>6709</v>
      </c>
      <c r="C49" s="224" t="n">
        <v>5000</v>
      </c>
      <c r="D49" s="222"/>
      <c r="E49" s="222"/>
      <c r="F49" s="28" t="s">
        <v>6639</v>
      </c>
      <c r="G49" s="28" t="s">
        <v>6640</v>
      </c>
      <c r="H49" s="28" t="s">
        <v>6550</v>
      </c>
      <c r="I49" s="28" t="s">
        <v>608</v>
      </c>
      <c r="J49" s="6" t="s">
        <v>6690</v>
      </c>
      <c r="K49" s="222" t="n">
        <v>3</v>
      </c>
      <c r="L49" s="222" t="s">
        <v>6461</v>
      </c>
      <c r="M49" s="6" t="s">
        <v>6691</v>
      </c>
      <c r="N49" s="222" t="s">
        <v>6599</v>
      </c>
      <c r="O49" s="28" t="s">
        <v>6551</v>
      </c>
      <c r="P49" s="28" t="s">
        <v>6552</v>
      </c>
      <c r="Q49" s="28" t="s">
        <v>6692</v>
      </c>
      <c r="R49" s="28" t="s">
        <v>608</v>
      </c>
      <c r="S49" s="28" t="s">
        <v>608</v>
      </c>
      <c r="T49" s="28" t="s">
        <v>608</v>
      </c>
      <c r="U49" s="28" t="s">
        <v>6693</v>
      </c>
      <c r="V49" s="6" t="s">
        <v>6710</v>
      </c>
      <c r="W49" s="6" t="s">
        <v>6711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4262</v>
      </c>
      <c r="B50" s="6" t="s">
        <v>6712</v>
      </c>
      <c r="C50" s="224" t="n">
        <v>1.8</v>
      </c>
      <c r="D50" s="222"/>
      <c r="E50" s="222"/>
      <c r="F50" s="28" t="s">
        <v>6713</v>
      </c>
      <c r="G50" s="222" t="s">
        <v>6549</v>
      </c>
      <c r="H50" s="28" t="s">
        <v>2266</v>
      </c>
      <c r="I50" s="28" t="s">
        <v>608</v>
      </c>
      <c r="J50" s="6" t="s">
        <v>6690</v>
      </c>
      <c r="K50" s="222" t="n">
        <v>3</v>
      </c>
      <c r="L50" s="222" t="s">
        <v>6461</v>
      </c>
      <c r="M50" s="6" t="s">
        <v>6691</v>
      </c>
      <c r="N50" s="222" t="s">
        <v>6599</v>
      </c>
      <c r="O50" s="28" t="s">
        <v>6464</v>
      </c>
      <c r="P50" s="28" t="s">
        <v>608</v>
      </c>
      <c r="Q50" s="28" t="s">
        <v>6692</v>
      </c>
      <c r="R50" s="28" t="s">
        <v>608</v>
      </c>
      <c r="S50" s="28" t="s">
        <v>608</v>
      </c>
      <c r="T50" s="28" t="s">
        <v>608</v>
      </c>
      <c r="U50" s="28" t="s">
        <v>6693</v>
      </c>
      <c r="V50" s="6" t="s">
        <v>6714</v>
      </c>
      <c r="W50" s="19" t="s">
        <v>6715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4003</v>
      </c>
      <c r="B51" s="6" t="s">
        <v>6716</v>
      </c>
      <c r="C51" s="224" t="n">
        <v>72</v>
      </c>
      <c r="D51" s="222"/>
      <c r="E51" s="222"/>
      <c r="F51" s="28" t="s">
        <v>719</v>
      </c>
      <c r="G51" s="28" t="s">
        <v>6717</v>
      </c>
      <c r="H51" s="28" t="s">
        <v>6718</v>
      </c>
      <c r="I51" s="28" t="s">
        <v>608</v>
      </c>
      <c r="J51" s="6" t="s">
        <v>6690</v>
      </c>
      <c r="K51" s="222" t="n">
        <v>1</v>
      </c>
      <c r="L51" s="222" t="s">
        <v>6461</v>
      </c>
      <c r="M51" s="6" t="s">
        <v>6719</v>
      </c>
      <c r="N51" s="222" t="s">
        <v>6463</v>
      </c>
      <c r="O51" s="28" t="s">
        <v>6464</v>
      </c>
      <c r="P51" s="28" t="s">
        <v>608</v>
      </c>
      <c r="Q51" s="28" t="s">
        <v>6720</v>
      </c>
      <c r="R51" s="28" t="s">
        <v>608</v>
      </c>
      <c r="S51" s="28" t="s">
        <v>6041</v>
      </c>
      <c r="T51" s="28" t="s">
        <v>608</v>
      </c>
      <c r="U51" s="28" t="s">
        <v>6693</v>
      </c>
      <c r="V51" s="6" t="s">
        <v>6721</v>
      </c>
      <c r="W51" s="19" t="s">
        <v>6722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4181</v>
      </c>
      <c r="B52" s="6" t="s">
        <v>6723</v>
      </c>
      <c r="C52" s="224" t="n">
        <v>0.9</v>
      </c>
      <c r="D52" s="222"/>
      <c r="E52" s="222"/>
      <c r="F52" s="28" t="s">
        <v>348</v>
      </c>
      <c r="G52" s="222" t="s">
        <v>6724</v>
      </c>
      <c r="H52" s="28" t="s">
        <v>6697</v>
      </c>
      <c r="I52" s="28" t="s">
        <v>608</v>
      </c>
      <c r="J52" s="6" t="s">
        <v>6690</v>
      </c>
      <c r="K52" s="222" t="n">
        <v>3</v>
      </c>
      <c r="L52" s="222" t="s">
        <v>6461</v>
      </c>
      <c r="M52" s="6" t="s">
        <v>6691</v>
      </c>
      <c r="N52" s="222" t="s">
        <v>6599</v>
      </c>
      <c r="O52" s="28" t="s">
        <v>6464</v>
      </c>
      <c r="P52" s="28" t="s">
        <v>608</v>
      </c>
      <c r="Q52" s="28" t="s">
        <v>6692</v>
      </c>
      <c r="R52" s="28" t="s">
        <v>608</v>
      </c>
      <c r="S52" s="28" t="s">
        <v>608</v>
      </c>
      <c r="T52" s="28" t="s">
        <v>608</v>
      </c>
      <c r="U52" s="28" t="s">
        <v>6693</v>
      </c>
      <c r="V52" s="6" t="s">
        <v>6725</v>
      </c>
      <c r="W52" s="19" t="s">
        <v>6726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4185</v>
      </c>
      <c r="B53" s="6" t="s">
        <v>6727</v>
      </c>
      <c r="C53" s="224" t="n">
        <v>1.8</v>
      </c>
      <c r="D53" s="222"/>
      <c r="E53" s="222"/>
      <c r="F53" s="28" t="s">
        <v>348</v>
      </c>
      <c r="G53" s="222" t="s">
        <v>6724</v>
      </c>
      <c r="H53" s="28" t="s">
        <v>2266</v>
      </c>
      <c r="I53" s="28" t="s">
        <v>608</v>
      </c>
      <c r="J53" s="6" t="s">
        <v>6690</v>
      </c>
      <c r="K53" s="222" t="n">
        <v>3</v>
      </c>
      <c r="L53" s="222" t="s">
        <v>6461</v>
      </c>
      <c r="M53" s="6" t="s">
        <v>6691</v>
      </c>
      <c r="N53" s="222" t="s">
        <v>6599</v>
      </c>
      <c r="O53" s="28" t="s">
        <v>6464</v>
      </c>
      <c r="P53" s="28" t="s">
        <v>608</v>
      </c>
      <c r="Q53" s="28" t="s">
        <v>6692</v>
      </c>
      <c r="R53" s="28" t="s">
        <v>608</v>
      </c>
      <c r="S53" s="28" t="s">
        <v>608</v>
      </c>
      <c r="T53" s="28" t="s">
        <v>608</v>
      </c>
      <c r="U53" s="28" t="s">
        <v>6693</v>
      </c>
      <c r="V53" s="6" t="s">
        <v>6728</v>
      </c>
      <c r="W53" s="6" t="s">
        <v>608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4223</v>
      </c>
      <c r="B54" s="6" t="s">
        <v>6729</v>
      </c>
      <c r="C54" s="224" t="n">
        <v>0.5625</v>
      </c>
      <c r="D54" s="222"/>
      <c r="E54" s="222"/>
      <c r="F54" s="28" t="s">
        <v>6730</v>
      </c>
      <c r="G54" s="222" t="s">
        <v>6731</v>
      </c>
      <c r="H54" s="28" t="s">
        <v>213</v>
      </c>
      <c r="I54" s="28" t="s">
        <v>608</v>
      </c>
      <c r="J54" s="6" t="s">
        <v>6690</v>
      </c>
      <c r="K54" s="222" t="n">
        <v>3</v>
      </c>
      <c r="L54" s="222" t="s">
        <v>6461</v>
      </c>
      <c r="M54" s="6" t="s">
        <v>6691</v>
      </c>
      <c r="N54" s="222" t="s">
        <v>6599</v>
      </c>
      <c r="O54" s="28" t="s">
        <v>6464</v>
      </c>
      <c r="P54" s="28" t="s">
        <v>608</v>
      </c>
      <c r="Q54" s="28" t="s">
        <v>6692</v>
      </c>
      <c r="R54" s="28" t="s">
        <v>608</v>
      </c>
      <c r="S54" s="28" t="s">
        <v>608</v>
      </c>
      <c r="T54" s="28" t="s">
        <v>608</v>
      </c>
      <c r="U54" s="28" t="s">
        <v>6693</v>
      </c>
      <c r="V54" s="6" t="s">
        <v>6732</v>
      </c>
      <c r="W54" s="6" t="s">
        <v>608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6733</v>
      </c>
      <c r="B55" s="6" t="s">
        <v>6734</v>
      </c>
      <c r="C55" s="224" t="n">
        <v>3</v>
      </c>
      <c r="D55" s="222"/>
      <c r="E55" s="222"/>
      <c r="F55" s="28" t="s">
        <v>6499</v>
      </c>
      <c r="G55" s="222" t="s">
        <v>6549</v>
      </c>
      <c r="H55" s="28" t="s">
        <v>167</v>
      </c>
      <c r="I55" s="28" t="s">
        <v>608</v>
      </c>
      <c r="J55" s="19" t="s">
        <v>6735</v>
      </c>
      <c r="K55" s="222" t="n">
        <v>3</v>
      </c>
      <c r="L55" s="222" t="s">
        <v>6568</v>
      </c>
      <c r="M55" s="6" t="s">
        <v>6736</v>
      </c>
      <c r="N55" s="222" t="s">
        <v>6474</v>
      </c>
      <c r="O55" s="28" t="s">
        <v>6464</v>
      </c>
      <c r="P55" s="28" t="s">
        <v>608</v>
      </c>
      <c r="Q55" s="28" t="s">
        <v>6737</v>
      </c>
      <c r="R55" s="28" t="s">
        <v>608</v>
      </c>
      <c r="S55" s="28" t="s">
        <v>608</v>
      </c>
      <c r="T55" s="28" t="s">
        <v>608</v>
      </c>
      <c r="U55" s="28" t="s">
        <v>6738</v>
      </c>
      <c r="V55" s="6" t="s">
        <v>608</v>
      </c>
      <c r="W55" s="19" t="s">
        <v>6739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4064</v>
      </c>
      <c r="B56" s="6" t="s">
        <v>6740</v>
      </c>
      <c r="C56" s="224" t="n">
        <v>4</v>
      </c>
      <c r="D56" s="222"/>
      <c r="E56" s="222"/>
      <c r="F56" s="28" t="s">
        <v>6499</v>
      </c>
      <c r="G56" s="222" t="s">
        <v>6741</v>
      </c>
      <c r="H56" s="28" t="s">
        <v>168</v>
      </c>
      <c r="I56" s="28" t="s">
        <v>6742</v>
      </c>
      <c r="J56" s="19" t="s">
        <v>6743</v>
      </c>
      <c r="K56" s="222" t="n">
        <v>2</v>
      </c>
      <c r="L56" s="222" t="s">
        <v>6568</v>
      </c>
      <c r="M56" s="6" t="s">
        <v>6736</v>
      </c>
      <c r="N56" s="222" t="s">
        <v>6474</v>
      </c>
      <c r="O56" s="28" t="s">
        <v>6464</v>
      </c>
      <c r="P56" s="28" t="s">
        <v>608</v>
      </c>
      <c r="Q56" s="28" t="s">
        <v>6744</v>
      </c>
      <c r="R56" s="28" t="s">
        <v>608</v>
      </c>
      <c r="S56" s="28" t="s">
        <v>3338</v>
      </c>
      <c r="T56" s="28" t="s">
        <v>608</v>
      </c>
      <c r="U56" s="28" t="s">
        <v>6738</v>
      </c>
      <c r="V56" s="6" t="s">
        <v>6745</v>
      </c>
      <c r="W56" s="19" t="s">
        <v>6746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4192</v>
      </c>
      <c r="B57" s="6" t="s">
        <v>6747</v>
      </c>
      <c r="C57" s="224" t="n">
        <v>8</v>
      </c>
      <c r="D57" s="222"/>
      <c r="E57" s="222"/>
      <c r="F57" s="28" t="s">
        <v>719</v>
      </c>
      <c r="G57" s="28" t="s">
        <v>6748</v>
      </c>
      <c r="H57" s="28" t="s">
        <v>6749</v>
      </c>
      <c r="I57" s="28" t="s">
        <v>608</v>
      </c>
      <c r="J57" s="6" t="s">
        <v>6750</v>
      </c>
      <c r="K57" s="222" t="n">
        <v>1</v>
      </c>
      <c r="L57" s="222" t="s">
        <v>6461</v>
      </c>
      <c r="M57" s="6" t="s">
        <v>6462</v>
      </c>
      <c r="N57" s="222" t="s">
        <v>6463</v>
      </c>
      <c r="O57" s="28" t="s">
        <v>6464</v>
      </c>
      <c r="P57" s="28" t="s">
        <v>608</v>
      </c>
      <c r="Q57" s="28" t="s">
        <v>6751</v>
      </c>
      <c r="R57" s="28" t="s">
        <v>608</v>
      </c>
      <c r="S57" s="28" t="s">
        <v>6041</v>
      </c>
      <c r="T57" s="28" t="s">
        <v>608</v>
      </c>
      <c r="U57" s="28" t="s">
        <v>6752</v>
      </c>
      <c r="V57" s="6" t="s">
        <v>608</v>
      </c>
      <c r="W57" s="6" t="s">
        <v>6753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6754</v>
      </c>
      <c r="B58" s="6" t="s">
        <v>6755</v>
      </c>
      <c r="C58" s="224" t="n">
        <v>144</v>
      </c>
      <c r="D58" s="222"/>
      <c r="E58" s="222"/>
      <c r="F58" s="222" t="s">
        <v>6756</v>
      </c>
      <c r="G58" s="28" t="s">
        <v>6757</v>
      </c>
      <c r="H58" s="28" t="s">
        <v>6550</v>
      </c>
      <c r="I58" s="28" t="s">
        <v>608</v>
      </c>
      <c r="J58" s="6" t="s">
        <v>6750</v>
      </c>
      <c r="K58" s="222" t="n">
        <v>3</v>
      </c>
      <c r="L58" s="222" t="s">
        <v>6461</v>
      </c>
      <c r="M58" s="6" t="s">
        <v>6758</v>
      </c>
      <c r="N58" s="222" t="s">
        <v>6599</v>
      </c>
      <c r="O58" s="28" t="s">
        <v>6551</v>
      </c>
      <c r="P58" s="28" t="s">
        <v>6552</v>
      </c>
      <c r="Q58" s="28" t="s">
        <v>6759</v>
      </c>
      <c r="R58" s="28" t="s">
        <v>608</v>
      </c>
      <c r="S58" s="28" t="s">
        <v>608</v>
      </c>
      <c r="T58" s="28" t="s">
        <v>608</v>
      </c>
      <c r="U58" s="28" t="s">
        <v>6752</v>
      </c>
      <c r="V58" s="6" t="s">
        <v>608</v>
      </c>
      <c r="W58" s="6" t="s">
        <v>6760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4221</v>
      </c>
      <c r="B59" s="6" t="s">
        <v>6761</v>
      </c>
      <c r="C59" s="224" t="n">
        <v>1</v>
      </c>
      <c r="D59" s="222"/>
      <c r="E59" s="222"/>
      <c r="F59" s="28" t="s">
        <v>6730</v>
      </c>
      <c r="G59" s="222" t="s">
        <v>6731</v>
      </c>
      <c r="H59" s="28" t="s">
        <v>212</v>
      </c>
      <c r="I59" s="28" t="s">
        <v>608</v>
      </c>
      <c r="J59" s="6" t="s">
        <v>6750</v>
      </c>
      <c r="K59" s="222" t="n">
        <v>3</v>
      </c>
      <c r="L59" s="222" t="s">
        <v>6568</v>
      </c>
      <c r="M59" s="19" t="s">
        <v>6762</v>
      </c>
      <c r="N59" s="222" t="s">
        <v>6599</v>
      </c>
      <c r="O59" s="28" t="s">
        <v>6464</v>
      </c>
      <c r="P59" s="28" t="s">
        <v>608</v>
      </c>
      <c r="Q59" s="28" t="s">
        <v>6759</v>
      </c>
      <c r="R59" s="28" t="s">
        <v>608</v>
      </c>
      <c r="S59" s="28" t="s">
        <v>608</v>
      </c>
      <c r="T59" s="28" t="s">
        <v>608</v>
      </c>
      <c r="U59" s="28" t="s">
        <v>6752</v>
      </c>
      <c r="V59" s="6" t="s">
        <v>608</v>
      </c>
      <c r="W59" s="6" t="s">
        <v>6763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4256</v>
      </c>
      <c r="B60" s="6" t="s">
        <v>6764</v>
      </c>
      <c r="C60" s="224" t="n">
        <v>700</v>
      </c>
      <c r="D60" s="222"/>
      <c r="E60" s="222"/>
      <c r="F60" s="28" t="s">
        <v>6765</v>
      </c>
      <c r="G60" s="28" t="s">
        <v>6766</v>
      </c>
      <c r="H60" s="28" t="s">
        <v>166</v>
      </c>
      <c r="I60" s="28" t="s">
        <v>608</v>
      </c>
      <c r="J60" s="6" t="s">
        <v>6750</v>
      </c>
      <c r="K60" s="222" t="n">
        <v>3</v>
      </c>
      <c r="L60" s="222" t="s">
        <v>6461</v>
      </c>
      <c r="M60" s="6" t="s">
        <v>6462</v>
      </c>
      <c r="N60" s="222" t="s">
        <v>6599</v>
      </c>
      <c r="O60" s="28" t="s">
        <v>6464</v>
      </c>
      <c r="P60" s="28" t="s">
        <v>608</v>
      </c>
      <c r="Q60" s="28" t="s">
        <v>6759</v>
      </c>
      <c r="R60" s="28" t="s">
        <v>608</v>
      </c>
      <c r="S60" s="28" t="s">
        <v>608</v>
      </c>
      <c r="T60" s="28" t="s">
        <v>608</v>
      </c>
      <c r="U60" s="28" t="s">
        <v>6752</v>
      </c>
      <c r="V60" s="6" t="s">
        <v>608</v>
      </c>
      <c r="W60" s="6" t="s">
        <v>6763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4258</v>
      </c>
      <c r="B61" s="6" t="s">
        <v>6767</v>
      </c>
      <c r="C61" s="224" t="n">
        <v>1200</v>
      </c>
      <c r="D61" s="222"/>
      <c r="E61" s="222"/>
      <c r="F61" s="28" t="s">
        <v>6765</v>
      </c>
      <c r="G61" s="222" t="s">
        <v>6768</v>
      </c>
      <c r="H61" s="28" t="s">
        <v>167</v>
      </c>
      <c r="I61" s="28" t="s">
        <v>608</v>
      </c>
      <c r="J61" s="6" t="s">
        <v>6750</v>
      </c>
      <c r="K61" s="222" t="n">
        <v>3</v>
      </c>
      <c r="L61" s="222" t="s">
        <v>6461</v>
      </c>
      <c r="M61" s="6" t="s">
        <v>6462</v>
      </c>
      <c r="N61" s="222" t="s">
        <v>6599</v>
      </c>
      <c r="O61" s="28" t="s">
        <v>6464</v>
      </c>
      <c r="P61" s="28" t="s">
        <v>608</v>
      </c>
      <c r="Q61" s="28" t="s">
        <v>6759</v>
      </c>
      <c r="R61" s="28" t="s">
        <v>608</v>
      </c>
      <c r="S61" s="28" t="s">
        <v>608</v>
      </c>
      <c r="T61" s="28" t="s">
        <v>608</v>
      </c>
      <c r="U61" s="28" t="s">
        <v>6752</v>
      </c>
      <c r="V61" s="6" t="s">
        <v>608</v>
      </c>
      <c r="W61" s="6" t="s">
        <v>6763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4260</v>
      </c>
      <c r="B62" s="6" t="s">
        <v>6769</v>
      </c>
      <c r="C62" s="224" t="n">
        <v>1400</v>
      </c>
      <c r="D62" s="222"/>
      <c r="E62" s="222"/>
      <c r="F62" s="28" t="s">
        <v>6765</v>
      </c>
      <c r="G62" s="222" t="s">
        <v>6768</v>
      </c>
      <c r="H62" s="28" t="s">
        <v>168</v>
      </c>
      <c r="I62" s="28" t="s">
        <v>608</v>
      </c>
      <c r="J62" s="6" t="s">
        <v>6750</v>
      </c>
      <c r="K62" s="222" t="n">
        <v>3</v>
      </c>
      <c r="L62" s="222" t="s">
        <v>6461</v>
      </c>
      <c r="M62" s="6" t="s">
        <v>6462</v>
      </c>
      <c r="N62" s="222" t="s">
        <v>6599</v>
      </c>
      <c r="O62" s="28" t="s">
        <v>6464</v>
      </c>
      <c r="P62" s="28" t="s">
        <v>608</v>
      </c>
      <c r="Q62" s="28" t="s">
        <v>6759</v>
      </c>
      <c r="R62" s="28" t="s">
        <v>608</v>
      </c>
      <c r="S62" s="28" t="s">
        <v>608</v>
      </c>
      <c r="T62" s="28" t="s">
        <v>608</v>
      </c>
      <c r="U62" s="28" t="s">
        <v>6752</v>
      </c>
      <c r="V62" s="6" t="s">
        <v>608</v>
      </c>
      <c r="W62" s="6" t="s">
        <v>6763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4166</v>
      </c>
      <c r="B63" s="6" t="s">
        <v>6770</v>
      </c>
      <c r="C63" s="224" t="n">
        <v>8</v>
      </c>
      <c r="D63" s="222"/>
      <c r="E63" s="222"/>
      <c r="F63" s="28" t="s">
        <v>348</v>
      </c>
      <c r="G63" s="28" t="s">
        <v>6654</v>
      </c>
      <c r="H63" s="28" t="s">
        <v>168</v>
      </c>
      <c r="I63" s="28" t="s">
        <v>608</v>
      </c>
      <c r="J63" s="6" t="s">
        <v>6750</v>
      </c>
      <c r="K63" s="222" t="n">
        <v>3</v>
      </c>
      <c r="L63" s="222" t="s">
        <v>6461</v>
      </c>
      <c r="M63" s="6" t="s">
        <v>6462</v>
      </c>
      <c r="N63" s="222" t="s">
        <v>6599</v>
      </c>
      <c r="O63" s="28" t="s">
        <v>6464</v>
      </c>
      <c r="P63" s="28" t="s">
        <v>608</v>
      </c>
      <c r="Q63" s="28" t="s">
        <v>6759</v>
      </c>
      <c r="R63" s="28" t="s">
        <v>608</v>
      </c>
      <c r="S63" s="28" t="s">
        <v>608</v>
      </c>
      <c r="T63" s="28" t="s">
        <v>608</v>
      </c>
      <c r="U63" s="28" t="s">
        <v>6752</v>
      </c>
      <c r="V63" s="6" t="s">
        <v>608</v>
      </c>
      <c r="W63" s="6" t="s">
        <v>6763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4177</v>
      </c>
      <c r="B64" s="6" t="s">
        <v>6771</v>
      </c>
      <c r="C64" s="224" t="n">
        <v>400</v>
      </c>
      <c r="D64" s="222"/>
      <c r="E64" s="222"/>
      <c r="F64" s="28" t="s">
        <v>6772</v>
      </c>
      <c r="G64" s="222" t="s">
        <v>6773</v>
      </c>
      <c r="H64" s="28" t="s">
        <v>166</v>
      </c>
      <c r="I64" s="28" t="s">
        <v>608</v>
      </c>
      <c r="J64" s="6" t="s">
        <v>6750</v>
      </c>
      <c r="K64" s="222" t="n">
        <v>3</v>
      </c>
      <c r="L64" s="222" t="s">
        <v>6461</v>
      </c>
      <c r="M64" s="6" t="s">
        <v>6462</v>
      </c>
      <c r="N64" s="222" t="s">
        <v>6599</v>
      </c>
      <c r="O64" s="28" t="s">
        <v>6464</v>
      </c>
      <c r="P64" s="28" t="s">
        <v>608</v>
      </c>
      <c r="Q64" s="28" t="s">
        <v>6759</v>
      </c>
      <c r="R64" s="28" t="s">
        <v>608</v>
      </c>
      <c r="S64" s="28" t="s">
        <v>608</v>
      </c>
      <c r="T64" s="28" t="s">
        <v>608</v>
      </c>
      <c r="U64" s="28" t="s">
        <v>6752</v>
      </c>
      <c r="V64" s="6" t="s">
        <v>608</v>
      </c>
      <c r="W64" s="6" t="s">
        <v>6763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4009</v>
      </c>
      <c r="B65" s="6" t="s">
        <v>6774</v>
      </c>
      <c r="C65" s="224" t="n">
        <v>72</v>
      </c>
      <c r="D65" s="222"/>
      <c r="E65" s="222"/>
      <c r="F65" s="222" t="s">
        <v>6756</v>
      </c>
      <c r="G65" s="222" t="s">
        <v>6775</v>
      </c>
      <c r="H65" s="28" t="s">
        <v>6776</v>
      </c>
      <c r="I65" s="28" t="s">
        <v>1211</v>
      </c>
      <c r="J65" s="6" t="s">
        <v>6777</v>
      </c>
      <c r="K65" s="222" t="n">
        <v>1</v>
      </c>
      <c r="L65" s="222" t="s">
        <v>6461</v>
      </c>
      <c r="M65" s="6" t="s">
        <v>6778</v>
      </c>
      <c r="N65" s="222" t="s">
        <v>6463</v>
      </c>
      <c r="O65" s="28" t="s">
        <v>6464</v>
      </c>
      <c r="P65" s="28" t="s">
        <v>608</v>
      </c>
      <c r="Q65" s="28" t="s">
        <v>6779</v>
      </c>
      <c r="R65" s="28" t="s">
        <v>608</v>
      </c>
      <c r="S65" s="28" t="s">
        <v>608</v>
      </c>
      <c r="T65" s="28" t="s">
        <v>608</v>
      </c>
      <c r="U65" s="28" t="s">
        <v>6780</v>
      </c>
      <c r="V65" s="6" t="s">
        <v>6781</v>
      </c>
      <c r="W65" s="6" t="s">
        <v>6782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4198</v>
      </c>
      <c r="B66" s="6" t="s">
        <v>6783</v>
      </c>
      <c r="C66" s="224" t="n">
        <v>576</v>
      </c>
      <c r="D66" s="222"/>
      <c r="E66" s="222"/>
      <c r="F66" s="28" t="s">
        <v>719</v>
      </c>
      <c r="G66" s="28" t="s">
        <v>6784</v>
      </c>
      <c r="H66" s="28" t="s">
        <v>6550</v>
      </c>
      <c r="I66" s="28" t="s">
        <v>1211</v>
      </c>
      <c r="J66" s="6" t="s">
        <v>6777</v>
      </c>
      <c r="K66" s="222" t="n">
        <v>1</v>
      </c>
      <c r="L66" s="222" t="s">
        <v>6461</v>
      </c>
      <c r="M66" s="6" t="s">
        <v>6785</v>
      </c>
      <c r="N66" s="222" t="s">
        <v>6463</v>
      </c>
      <c r="O66" s="28" t="s">
        <v>6464</v>
      </c>
      <c r="P66" s="28" t="s">
        <v>608</v>
      </c>
      <c r="Q66" s="28" t="s">
        <v>6779</v>
      </c>
      <c r="R66" s="28" t="s">
        <v>608</v>
      </c>
      <c r="S66" s="28" t="s">
        <v>608</v>
      </c>
      <c r="T66" s="28" t="s">
        <v>608</v>
      </c>
      <c r="U66" s="28" t="s">
        <v>6780</v>
      </c>
      <c r="V66" s="6" t="s">
        <v>6786</v>
      </c>
      <c r="W66" s="6" t="s">
        <v>6787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4123</v>
      </c>
      <c r="B67" s="6" t="s">
        <v>6788</v>
      </c>
      <c r="C67" s="224" t="n">
        <v>2520</v>
      </c>
      <c r="D67" s="222"/>
      <c r="E67" s="222"/>
      <c r="F67" s="28" t="s">
        <v>6789</v>
      </c>
      <c r="G67" s="28" t="s">
        <v>6790</v>
      </c>
      <c r="H67" s="28" t="s">
        <v>169</v>
      </c>
      <c r="I67" s="28" t="s">
        <v>6471</v>
      </c>
      <c r="J67" s="6" t="s">
        <v>6791</v>
      </c>
      <c r="K67" s="222" t="n">
        <v>1</v>
      </c>
      <c r="L67" s="222" t="s">
        <v>6461</v>
      </c>
      <c r="M67" s="6" t="s">
        <v>6792</v>
      </c>
      <c r="N67" s="222" t="s">
        <v>6463</v>
      </c>
      <c r="O67" s="28" t="s">
        <v>6464</v>
      </c>
      <c r="P67" s="28" t="s">
        <v>608</v>
      </c>
      <c r="Q67" s="28" t="s">
        <v>6793</v>
      </c>
      <c r="R67" s="28" t="s">
        <v>608</v>
      </c>
      <c r="S67" s="28" t="s">
        <v>608</v>
      </c>
      <c r="T67" s="28" t="s">
        <v>608</v>
      </c>
      <c r="U67" s="28" t="s">
        <v>6780</v>
      </c>
      <c r="V67" s="19" t="s">
        <v>6794</v>
      </c>
      <c r="W67" s="6" t="s">
        <v>6795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6796</v>
      </c>
      <c r="B68" s="6" t="s">
        <v>6797</v>
      </c>
      <c r="C68" s="224" t="n">
        <v>227</v>
      </c>
      <c r="D68" s="222"/>
      <c r="E68" s="222"/>
      <c r="F68" s="28" t="s">
        <v>6483</v>
      </c>
      <c r="G68" s="222" t="s">
        <v>6798</v>
      </c>
      <c r="H68" s="28" t="s">
        <v>169</v>
      </c>
      <c r="I68" s="28" t="s">
        <v>1211</v>
      </c>
      <c r="J68" s="6" t="s">
        <v>6799</v>
      </c>
      <c r="K68" s="222" t="n">
        <v>1</v>
      </c>
      <c r="L68" s="222" t="s">
        <v>6461</v>
      </c>
      <c r="M68" s="6" t="s">
        <v>6800</v>
      </c>
      <c r="N68" s="222" t="s">
        <v>6463</v>
      </c>
      <c r="O68" s="28" t="s">
        <v>6464</v>
      </c>
      <c r="P68" s="28" t="s">
        <v>608</v>
      </c>
      <c r="Q68" s="28" t="s">
        <v>6801</v>
      </c>
      <c r="R68" s="28" t="s">
        <v>608</v>
      </c>
      <c r="S68" s="28" t="s">
        <v>608</v>
      </c>
      <c r="T68" s="28" t="s">
        <v>608</v>
      </c>
      <c r="U68" s="28" t="s">
        <v>6780</v>
      </c>
      <c r="V68" s="19" t="s">
        <v>6802</v>
      </c>
      <c r="W68" s="6" t="s">
        <v>6803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6804</v>
      </c>
      <c r="B69" s="6" t="s">
        <v>6805</v>
      </c>
      <c r="C69" s="224" t="n">
        <v>4.3</v>
      </c>
      <c r="D69" s="196"/>
      <c r="E69" s="196"/>
      <c r="F69" s="28" t="s">
        <v>6499</v>
      </c>
      <c r="G69" s="196" t="s">
        <v>6806</v>
      </c>
      <c r="H69" s="28" t="s">
        <v>168</v>
      </c>
      <c r="I69" s="28" t="s">
        <v>6807</v>
      </c>
      <c r="J69" s="6" t="s">
        <v>6808</v>
      </c>
      <c r="K69" s="196" t="n">
        <v>2</v>
      </c>
      <c r="L69" s="196" t="s">
        <v>6461</v>
      </c>
      <c r="M69" s="226" t="s">
        <v>6809</v>
      </c>
      <c r="N69" s="196" t="s">
        <v>6474</v>
      </c>
      <c r="O69" s="28" t="s">
        <v>6510</v>
      </c>
      <c r="P69" s="28" t="s">
        <v>608</v>
      </c>
      <c r="Q69" s="28" t="s">
        <v>6810</v>
      </c>
      <c r="R69" s="28" t="s">
        <v>608</v>
      </c>
      <c r="S69" s="28" t="s">
        <v>608</v>
      </c>
      <c r="T69" s="28" t="s">
        <v>608</v>
      </c>
      <c r="U69" s="28" t="s">
        <v>6811</v>
      </c>
      <c r="V69" s="6" t="s">
        <v>6812</v>
      </c>
      <c r="W69" s="6" t="s">
        <v>6813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1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6814</v>
      </c>
      <c r="B70" s="6" t="s">
        <v>6815</v>
      </c>
      <c r="C70" s="224" t="n">
        <v>2</v>
      </c>
      <c r="D70" s="196"/>
      <c r="E70" s="196"/>
      <c r="F70" s="28" t="s">
        <v>97</v>
      </c>
      <c r="G70" s="196" t="s">
        <v>6816</v>
      </c>
      <c r="H70" s="28" t="s">
        <v>6817</v>
      </c>
      <c r="I70" s="28" t="s">
        <v>6818</v>
      </c>
      <c r="J70" s="6" t="s">
        <v>6819</v>
      </c>
      <c r="K70" s="196" t="n">
        <v>1</v>
      </c>
      <c r="L70" s="196" t="s">
        <v>6568</v>
      </c>
      <c r="M70" s="226" t="s">
        <v>6820</v>
      </c>
      <c r="N70" s="196" t="s">
        <v>6463</v>
      </c>
      <c r="O70" s="28" t="s">
        <v>6464</v>
      </c>
      <c r="P70" s="28" t="s">
        <v>608</v>
      </c>
      <c r="Q70" s="28" t="s">
        <v>6821</v>
      </c>
      <c r="R70" s="28" t="s">
        <v>608</v>
      </c>
      <c r="S70" s="28" t="s">
        <v>608</v>
      </c>
      <c r="T70" s="28" t="s">
        <v>608</v>
      </c>
      <c r="U70" s="28" t="s">
        <v>6811</v>
      </c>
      <c r="V70" s="226" t="s">
        <v>6822</v>
      </c>
      <c r="W70" s="6" t="s">
        <v>6823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1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6824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6436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0" t="s">
        <v>6451</v>
      </c>
      <c r="Y4" s="220" t="s">
        <v>6452</v>
      </c>
      <c r="Z4" s="220" t="s">
        <v>6453</v>
      </c>
      <c r="AH4" s="81" t="s">
        <v>6454</v>
      </c>
    </row>
    <row r="5" customFormat="false" ht="29.25" hidden="false" customHeight="true" outlineLevel="0" collapsed="false">
      <c r="A5" s="28" t="s">
        <v>3864</v>
      </c>
      <c r="B5" s="6" t="s">
        <v>6825</v>
      </c>
      <c r="C5" s="222"/>
      <c r="D5" s="224" t="n">
        <v>0.04</v>
      </c>
      <c r="E5" s="224" t="n">
        <v>0.08</v>
      </c>
      <c r="F5" s="28" t="s">
        <v>93</v>
      </c>
      <c r="G5" s="222" t="s">
        <v>6826</v>
      </c>
      <c r="H5" s="28" t="s">
        <v>608</v>
      </c>
      <c r="I5" s="28" t="s">
        <v>6471</v>
      </c>
      <c r="J5" s="6" t="s">
        <v>6827</v>
      </c>
      <c r="K5" s="222" t="n">
        <v>3</v>
      </c>
      <c r="L5" s="222" t="s">
        <v>6461</v>
      </c>
      <c r="M5" s="6" t="s">
        <v>6828</v>
      </c>
      <c r="N5" s="222" t="s">
        <v>6474</v>
      </c>
      <c r="O5" s="28" t="s">
        <v>6464</v>
      </c>
      <c r="P5" s="28" t="s">
        <v>608</v>
      </c>
      <c r="Q5" s="28" t="s">
        <v>6829</v>
      </c>
      <c r="R5" s="28" t="s">
        <v>608</v>
      </c>
      <c r="S5" s="28" t="s">
        <v>608</v>
      </c>
      <c r="T5" s="28" t="s">
        <v>608</v>
      </c>
      <c r="U5" s="28" t="s">
        <v>6830</v>
      </c>
      <c r="V5" s="6" t="s">
        <v>6831</v>
      </c>
      <c r="W5" s="19" t="s">
        <v>6832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3869</v>
      </c>
      <c r="B6" s="19" t="s">
        <v>6833</v>
      </c>
      <c r="C6" s="224" t="n">
        <v>0.15</v>
      </c>
      <c r="D6" s="222"/>
      <c r="E6" s="222"/>
      <c r="F6" s="28" t="s">
        <v>93</v>
      </c>
      <c r="G6" s="222" t="s">
        <v>6834</v>
      </c>
      <c r="H6" s="28" t="s">
        <v>608</v>
      </c>
      <c r="I6" s="28" t="s">
        <v>6471</v>
      </c>
      <c r="J6" s="6" t="s">
        <v>6827</v>
      </c>
      <c r="K6" s="222" t="n">
        <v>3</v>
      </c>
      <c r="L6" s="222" t="s">
        <v>6461</v>
      </c>
      <c r="M6" s="6" t="s">
        <v>6828</v>
      </c>
      <c r="N6" s="222" t="s">
        <v>6474</v>
      </c>
      <c r="O6" s="28" t="s">
        <v>6464</v>
      </c>
      <c r="P6" s="28" t="s">
        <v>608</v>
      </c>
      <c r="Q6" s="28" t="s">
        <v>6829</v>
      </c>
      <c r="R6" s="28" t="s">
        <v>608</v>
      </c>
      <c r="S6" s="28" t="s">
        <v>608</v>
      </c>
      <c r="T6" s="28" t="s">
        <v>608</v>
      </c>
      <c r="U6" s="28" t="s">
        <v>6830</v>
      </c>
      <c r="V6" s="6" t="s">
        <v>6835</v>
      </c>
      <c r="W6" s="6" t="s">
        <v>6836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2769</v>
      </c>
      <c r="B7" s="19" t="s">
        <v>6837</v>
      </c>
      <c r="C7" s="224" t="n">
        <v>11.3</v>
      </c>
      <c r="D7" s="222"/>
      <c r="E7" s="222"/>
      <c r="F7" s="28" t="s">
        <v>114</v>
      </c>
      <c r="G7" s="222" t="s">
        <v>6838</v>
      </c>
      <c r="H7" s="222" t="s">
        <v>6839</v>
      </c>
      <c r="I7" s="28" t="s">
        <v>6471</v>
      </c>
      <c r="J7" s="6" t="s">
        <v>6840</v>
      </c>
      <c r="K7" s="222" t="n">
        <v>3</v>
      </c>
      <c r="L7" s="222" t="s">
        <v>6568</v>
      </c>
      <c r="M7" s="6" t="s">
        <v>6841</v>
      </c>
      <c r="N7" s="222" t="s">
        <v>6474</v>
      </c>
      <c r="O7" s="28" t="s">
        <v>6464</v>
      </c>
      <c r="P7" s="28" t="s">
        <v>608</v>
      </c>
      <c r="Q7" s="28" t="s">
        <v>4751</v>
      </c>
      <c r="R7" s="28" t="s">
        <v>608</v>
      </c>
      <c r="S7" s="28" t="s">
        <v>608</v>
      </c>
      <c r="T7" s="28" t="s">
        <v>608</v>
      </c>
      <c r="U7" s="28" t="s">
        <v>6842</v>
      </c>
      <c r="V7" s="6" t="s">
        <v>6843</v>
      </c>
      <c r="W7" s="6" t="s">
        <v>6844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6845</v>
      </c>
      <c r="B8" s="19" t="s">
        <v>6846</v>
      </c>
      <c r="C8" s="222"/>
      <c r="D8" s="224" t="n">
        <v>0.07</v>
      </c>
      <c r="E8" s="224" t="n">
        <v>0.1</v>
      </c>
      <c r="F8" s="28" t="s">
        <v>93</v>
      </c>
      <c r="G8" s="222" t="s">
        <v>6847</v>
      </c>
      <c r="H8" s="222" t="s">
        <v>6848</v>
      </c>
      <c r="I8" s="28" t="s">
        <v>6471</v>
      </c>
      <c r="J8" s="6" t="s">
        <v>6840</v>
      </c>
      <c r="K8" s="222" t="n">
        <v>3</v>
      </c>
      <c r="L8" s="222" t="s">
        <v>6568</v>
      </c>
      <c r="M8" s="6" t="s">
        <v>6841</v>
      </c>
      <c r="N8" s="222" t="s">
        <v>6474</v>
      </c>
      <c r="O8" s="28" t="s">
        <v>6464</v>
      </c>
      <c r="P8" s="28" t="s">
        <v>608</v>
      </c>
      <c r="Q8" s="28" t="s">
        <v>4751</v>
      </c>
      <c r="R8" s="28" t="s">
        <v>608</v>
      </c>
      <c r="S8" s="28" t="s">
        <v>608</v>
      </c>
      <c r="T8" s="28" t="s">
        <v>608</v>
      </c>
      <c r="U8" s="28" t="s">
        <v>6842</v>
      </c>
      <c r="V8" s="6" t="s">
        <v>6843</v>
      </c>
      <c r="W8" s="6" t="s">
        <v>608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6849</v>
      </c>
      <c r="B9" s="19" t="s">
        <v>6850</v>
      </c>
      <c r="C9" s="224" t="n">
        <v>0.0858</v>
      </c>
      <c r="D9" s="222"/>
      <c r="E9" s="222"/>
      <c r="F9" s="28" t="s">
        <v>103</v>
      </c>
      <c r="G9" s="222" t="s">
        <v>6851</v>
      </c>
      <c r="H9" s="222" t="s">
        <v>1200</v>
      </c>
      <c r="I9" s="28" t="s">
        <v>6501</v>
      </c>
      <c r="J9" s="6" t="s">
        <v>6852</v>
      </c>
      <c r="K9" s="222" t="n">
        <v>2</v>
      </c>
      <c r="L9" s="222" t="s">
        <v>6568</v>
      </c>
      <c r="M9" s="6" t="s">
        <v>6853</v>
      </c>
      <c r="N9" s="222" t="s">
        <v>6854</v>
      </c>
      <c r="O9" s="28" t="s">
        <v>6464</v>
      </c>
      <c r="P9" s="28" t="s">
        <v>608</v>
      </c>
      <c r="Q9" s="28" t="s">
        <v>4763</v>
      </c>
      <c r="R9" s="28" t="s">
        <v>608</v>
      </c>
      <c r="S9" s="28" t="s">
        <v>608</v>
      </c>
      <c r="T9" s="28" t="s">
        <v>608</v>
      </c>
      <c r="U9" s="28" t="s">
        <v>6855</v>
      </c>
      <c r="V9" s="6" t="s">
        <v>608</v>
      </c>
      <c r="W9" s="6" t="s">
        <v>608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3857</v>
      </c>
      <c r="B10" s="19" t="s">
        <v>6856</v>
      </c>
      <c r="C10" s="224" t="n">
        <v>0.0871</v>
      </c>
      <c r="D10" s="222"/>
      <c r="E10" s="222"/>
      <c r="F10" s="28" t="s">
        <v>103</v>
      </c>
      <c r="G10" s="222" t="s">
        <v>6851</v>
      </c>
      <c r="H10" s="222" t="s">
        <v>1200</v>
      </c>
      <c r="I10" s="28" t="s">
        <v>6566</v>
      </c>
      <c r="J10" s="6" t="s">
        <v>6852</v>
      </c>
      <c r="K10" s="222" t="n">
        <v>2</v>
      </c>
      <c r="L10" s="222" t="s">
        <v>6568</v>
      </c>
      <c r="M10" s="6" t="s">
        <v>6853</v>
      </c>
      <c r="N10" s="222" t="s">
        <v>6854</v>
      </c>
      <c r="O10" s="28" t="s">
        <v>6464</v>
      </c>
      <c r="P10" s="28" t="s">
        <v>608</v>
      </c>
      <c r="Q10" s="28" t="s">
        <v>4763</v>
      </c>
      <c r="R10" s="28" t="s">
        <v>608</v>
      </c>
      <c r="S10" s="28" t="s">
        <v>608</v>
      </c>
      <c r="T10" s="28" t="s">
        <v>608</v>
      </c>
      <c r="U10" s="28" t="s">
        <v>6855</v>
      </c>
      <c r="V10" s="6" t="s">
        <v>6857</v>
      </c>
      <c r="W10" s="19" t="s">
        <v>6858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3971</v>
      </c>
      <c r="B11" s="6" t="s">
        <v>6859</v>
      </c>
      <c r="C11" s="224" t="n">
        <v>6</v>
      </c>
      <c r="D11" s="222"/>
      <c r="E11" s="222"/>
      <c r="F11" s="222" t="s">
        <v>128</v>
      </c>
      <c r="G11" s="222" t="s">
        <v>6860</v>
      </c>
      <c r="H11" s="28" t="s">
        <v>6861</v>
      </c>
      <c r="I11" s="28" t="s">
        <v>6596</v>
      </c>
      <c r="J11" s="6" t="s">
        <v>6862</v>
      </c>
      <c r="K11" s="222" t="n">
        <v>2</v>
      </c>
      <c r="L11" s="222" t="s">
        <v>6461</v>
      </c>
      <c r="M11" s="19" t="s">
        <v>6863</v>
      </c>
      <c r="N11" s="222" t="s">
        <v>6474</v>
      </c>
      <c r="O11" s="28" t="s">
        <v>6464</v>
      </c>
      <c r="P11" s="28" t="s">
        <v>608</v>
      </c>
      <c r="Q11" s="28" t="s">
        <v>4775</v>
      </c>
      <c r="R11" s="28" t="s">
        <v>608</v>
      </c>
      <c r="S11" s="28" t="s">
        <v>608</v>
      </c>
      <c r="T11" s="28" t="s">
        <v>608</v>
      </c>
      <c r="U11" s="28" t="s">
        <v>6864</v>
      </c>
      <c r="V11" s="6" t="s">
        <v>6865</v>
      </c>
      <c r="W11" s="6" t="s">
        <v>6866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3978</v>
      </c>
      <c r="B12" s="6" t="s">
        <v>6867</v>
      </c>
      <c r="C12" s="224" t="n">
        <v>4</v>
      </c>
      <c r="D12" s="222"/>
      <c r="E12" s="222"/>
      <c r="F12" s="222" t="s">
        <v>128</v>
      </c>
      <c r="G12" s="222" t="s">
        <v>6860</v>
      </c>
      <c r="H12" s="28" t="s">
        <v>6868</v>
      </c>
      <c r="I12" s="28" t="s">
        <v>6596</v>
      </c>
      <c r="J12" s="6" t="s">
        <v>6862</v>
      </c>
      <c r="K12" s="222" t="n">
        <v>2</v>
      </c>
      <c r="L12" s="222" t="s">
        <v>6461</v>
      </c>
      <c r="M12" s="19" t="s">
        <v>6863</v>
      </c>
      <c r="N12" s="222" t="s">
        <v>6474</v>
      </c>
      <c r="O12" s="28" t="s">
        <v>6464</v>
      </c>
      <c r="P12" s="28" t="s">
        <v>608</v>
      </c>
      <c r="Q12" s="28" t="s">
        <v>4775</v>
      </c>
      <c r="R12" s="28" t="s">
        <v>608</v>
      </c>
      <c r="S12" s="28" t="s">
        <v>608</v>
      </c>
      <c r="T12" s="28" t="s">
        <v>608</v>
      </c>
      <c r="U12" s="28" t="s">
        <v>6864</v>
      </c>
      <c r="V12" s="6" t="s">
        <v>6869</v>
      </c>
      <c r="W12" s="6" t="s">
        <v>608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6870</v>
      </c>
      <c r="B13" s="6" t="s">
        <v>6871</v>
      </c>
      <c r="C13" s="224" t="n">
        <v>5</v>
      </c>
      <c r="D13" s="222"/>
      <c r="E13" s="222"/>
      <c r="F13" s="222" t="s">
        <v>128</v>
      </c>
      <c r="G13" s="222" t="s">
        <v>6860</v>
      </c>
      <c r="H13" s="28" t="s">
        <v>6872</v>
      </c>
      <c r="I13" s="28" t="s">
        <v>6596</v>
      </c>
      <c r="J13" s="6" t="s">
        <v>6862</v>
      </c>
      <c r="K13" s="222" t="n">
        <v>2</v>
      </c>
      <c r="L13" s="222" t="s">
        <v>6461</v>
      </c>
      <c r="M13" s="19" t="s">
        <v>6863</v>
      </c>
      <c r="N13" s="222" t="s">
        <v>6474</v>
      </c>
      <c r="O13" s="28" t="s">
        <v>6464</v>
      </c>
      <c r="P13" s="28" t="s">
        <v>608</v>
      </c>
      <c r="Q13" s="28" t="s">
        <v>4775</v>
      </c>
      <c r="R13" s="28" t="s">
        <v>608</v>
      </c>
      <c r="S13" s="28" t="s">
        <v>608</v>
      </c>
      <c r="T13" s="28" t="s">
        <v>608</v>
      </c>
      <c r="U13" s="28" t="s">
        <v>6864</v>
      </c>
      <c r="V13" s="6" t="s">
        <v>608</v>
      </c>
      <c r="W13" s="6" t="s">
        <v>608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2753</v>
      </c>
      <c r="B14" s="19" t="s">
        <v>6873</v>
      </c>
      <c r="C14" s="222"/>
      <c r="D14" s="224" t="n">
        <v>50</v>
      </c>
      <c r="E14" s="224" t="n">
        <v>60</v>
      </c>
      <c r="F14" s="28" t="s">
        <v>2741</v>
      </c>
      <c r="G14" s="28" t="s">
        <v>6874</v>
      </c>
      <c r="H14" s="28" t="s">
        <v>608</v>
      </c>
      <c r="I14" s="28" t="s">
        <v>6875</v>
      </c>
      <c r="J14" s="6" t="s">
        <v>6876</v>
      </c>
      <c r="K14" s="222" t="n">
        <v>3</v>
      </c>
      <c r="L14" s="222" t="s">
        <v>6461</v>
      </c>
      <c r="M14" s="6" t="s">
        <v>6877</v>
      </c>
      <c r="N14" s="222" t="s">
        <v>6474</v>
      </c>
      <c r="O14" s="28" t="s">
        <v>6464</v>
      </c>
      <c r="P14" s="28" t="s">
        <v>608</v>
      </c>
      <c r="Q14" s="28" t="s">
        <v>6878</v>
      </c>
      <c r="R14" s="28" t="s">
        <v>608</v>
      </c>
      <c r="S14" s="28" t="s">
        <v>608</v>
      </c>
      <c r="T14" s="28" t="s">
        <v>608</v>
      </c>
      <c r="U14" s="28" t="s">
        <v>6879</v>
      </c>
      <c r="V14" s="6" t="s">
        <v>6880</v>
      </c>
      <c r="W14" s="6" t="s">
        <v>608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2760</v>
      </c>
      <c r="B15" s="19" t="s">
        <v>6881</v>
      </c>
      <c r="C15" s="224" t="n">
        <v>35</v>
      </c>
      <c r="D15" s="222"/>
      <c r="E15" s="222"/>
      <c r="F15" s="28" t="s">
        <v>2741</v>
      </c>
      <c r="G15" s="28" t="s">
        <v>6874</v>
      </c>
      <c r="H15" s="28" t="s">
        <v>608</v>
      </c>
      <c r="I15" s="28" t="s">
        <v>6875</v>
      </c>
      <c r="J15" s="6" t="s">
        <v>6876</v>
      </c>
      <c r="K15" s="222" t="n">
        <v>3</v>
      </c>
      <c r="L15" s="222" t="s">
        <v>6461</v>
      </c>
      <c r="M15" s="6" t="s">
        <v>6877</v>
      </c>
      <c r="N15" s="222" t="s">
        <v>6474</v>
      </c>
      <c r="O15" s="28" t="s">
        <v>6464</v>
      </c>
      <c r="P15" s="28" t="s">
        <v>608</v>
      </c>
      <c r="Q15" s="28" t="s">
        <v>6878</v>
      </c>
      <c r="R15" s="28" t="s">
        <v>608</v>
      </c>
      <c r="S15" s="28" t="s">
        <v>608</v>
      </c>
      <c r="T15" s="28" t="s">
        <v>608</v>
      </c>
      <c r="U15" s="28" t="s">
        <v>6879</v>
      </c>
      <c r="V15" s="6" t="s">
        <v>6882</v>
      </c>
      <c r="W15" s="6" t="s">
        <v>608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2793</v>
      </c>
      <c r="B16" s="6" t="s">
        <v>6883</v>
      </c>
      <c r="C16" s="224" t="n">
        <v>2.21</v>
      </c>
      <c r="D16" s="222"/>
      <c r="E16" s="222"/>
      <c r="F16" s="28" t="s">
        <v>840</v>
      </c>
      <c r="G16" s="222" t="s">
        <v>6884</v>
      </c>
      <c r="H16" s="28" t="s">
        <v>167</v>
      </c>
      <c r="I16" s="28" t="s">
        <v>6566</v>
      </c>
      <c r="J16" s="6" t="s">
        <v>6885</v>
      </c>
      <c r="K16" s="222" t="n">
        <v>2</v>
      </c>
      <c r="L16" s="222" t="s">
        <v>6461</v>
      </c>
      <c r="M16" s="6" t="s">
        <v>6886</v>
      </c>
      <c r="N16" s="222" t="s">
        <v>6887</v>
      </c>
      <c r="O16" s="28" t="s">
        <v>6464</v>
      </c>
      <c r="P16" s="28" t="s">
        <v>608</v>
      </c>
      <c r="Q16" s="28" t="s">
        <v>6888</v>
      </c>
      <c r="R16" s="28" t="s">
        <v>608</v>
      </c>
      <c r="S16" s="28" t="s">
        <v>608</v>
      </c>
      <c r="T16" s="28" t="s">
        <v>608</v>
      </c>
      <c r="U16" s="28" t="s">
        <v>6889</v>
      </c>
      <c r="V16" s="6" t="s">
        <v>6890</v>
      </c>
      <c r="W16" s="19" t="s">
        <v>6891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2797</v>
      </c>
      <c r="B17" s="6" t="s">
        <v>6892</v>
      </c>
      <c r="C17" s="224" t="n">
        <v>2.65</v>
      </c>
      <c r="D17" s="222"/>
      <c r="E17" s="222"/>
      <c r="F17" s="28" t="s">
        <v>840</v>
      </c>
      <c r="G17" s="222" t="s">
        <v>6884</v>
      </c>
      <c r="H17" s="28" t="s">
        <v>168</v>
      </c>
      <c r="I17" s="28" t="s">
        <v>6566</v>
      </c>
      <c r="J17" s="6" t="s">
        <v>6885</v>
      </c>
      <c r="K17" s="222" t="n">
        <v>2</v>
      </c>
      <c r="L17" s="222" t="s">
        <v>6461</v>
      </c>
      <c r="M17" s="6" t="s">
        <v>6886</v>
      </c>
      <c r="N17" s="222" t="s">
        <v>6887</v>
      </c>
      <c r="O17" s="28" t="s">
        <v>6464</v>
      </c>
      <c r="P17" s="28" t="s">
        <v>608</v>
      </c>
      <c r="Q17" s="28" t="s">
        <v>6888</v>
      </c>
      <c r="R17" s="28" t="s">
        <v>608</v>
      </c>
      <c r="S17" s="28" t="s">
        <v>608</v>
      </c>
      <c r="T17" s="28" t="s">
        <v>608</v>
      </c>
      <c r="U17" s="28" t="s">
        <v>6889</v>
      </c>
      <c r="V17" s="6" t="s">
        <v>6893</v>
      </c>
      <c r="W17" s="19" t="s">
        <v>6891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3162</v>
      </c>
      <c r="B18" s="226" t="s">
        <v>6894</v>
      </c>
      <c r="C18" s="224" t="n">
        <v>29</v>
      </c>
      <c r="D18" s="196"/>
      <c r="E18" s="196"/>
      <c r="F18" s="28" t="s">
        <v>3158</v>
      </c>
      <c r="G18" s="196" t="s">
        <v>6895</v>
      </c>
      <c r="H18" s="28" t="s">
        <v>6896</v>
      </c>
      <c r="I18" s="28" t="s">
        <v>6897</v>
      </c>
      <c r="J18" s="6" t="s">
        <v>6898</v>
      </c>
      <c r="K18" s="196" t="n">
        <v>1</v>
      </c>
      <c r="L18" s="196" t="s">
        <v>6461</v>
      </c>
      <c r="M18" s="226" t="s">
        <v>6899</v>
      </c>
      <c r="N18" s="196" t="s">
        <v>6463</v>
      </c>
      <c r="O18" s="28" t="s">
        <v>6464</v>
      </c>
      <c r="P18" s="28" t="s">
        <v>608</v>
      </c>
      <c r="Q18" s="28" t="s">
        <v>6900</v>
      </c>
      <c r="R18" s="28" t="s">
        <v>608</v>
      </c>
      <c r="S18" s="28" t="s">
        <v>608</v>
      </c>
      <c r="T18" s="28" t="s">
        <v>608</v>
      </c>
      <c r="U18" s="28" t="s">
        <v>6811</v>
      </c>
      <c r="V18" s="6" t="s">
        <v>6901</v>
      </c>
      <c r="W18" s="6" t="s">
        <v>6902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5513</v>
      </c>
      <c r="B19" s="6" t="s">
        <v>6903</v>
      </c>
      <c r="C19" s="224" t="n">
        <v>3</v>
      </c>
      <c r="D19" s="196"/>
      <c r="E19" s="196"/>
      <c r="F19" s="196" t="s">
        <v>128</v>
      </c>
      <c r="G19" s="196" t="s">
        <v>6904</v>
      </c>
      <c r="H19" s="28" t="s">
        <v>6905</v>
      </c>
      <c r="I19" s="28" t="s">
        <v>6906</v>
      </c>
      <c r="J19" s="6" t="s">
        <v>6907</v>
      </c>
      <c r="K19" s="196" t="n">
        <v>1</v>
      </c>
      <c r="L19" s="196" t="s">
        <v>6461</v>
      </c>
      <c r="M19" s="226" t="s">
        <v>6908</v>
      </c>
      <c r="N19" s="196" t="s">
        <v>6463</v>
      </c>
      <c r="O19" s="28" t="s">
        <v>6464</v>
      </c>
      <c r="P19" s="28" t="s">
        <v>608</v>
      </c>
      <c r="Q19" s="28" t="s">
        <v>6909</v>
      </c>
      <c r="R19" s="28" t="s">
        <v>6910</v>
      </c>
      <c r="S19" s="28" t="s">
        <v>608</v>
      </c>
      <c r="T19" s="28" t="s">
        <v>608</v>
      </c>
      <c r="U19" s="28" t="s">
        <v>6811</v>
      </c>
      <c r="V19" s="6" t="s">
        <v>6911</v>
      </c>
      <c r="W19" s="6" t="s">
        <v>6912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6910</v>
      </c>
      <c r="B20" s="6" t="s">
        <v>6913</v>
      </c>
      <c r="C20" s="224" t="n">
        <v>3</v>
      </c>
      <c r="D20" s="196"/>
      <c r="E20" s="196"/>
      <c r="F20" s="196" t="s">
        <v>128</v>
      </c>
      <c r="G20" s="196" t="s">
        <v>6914</v>
      </c>
      <c r="H20" s="28" t="s">
        <v>6915</v>
      </c>
      <c r="I20" s="28" t="s">
        <v>3338</v>
      </c>
      <c r="J20" s="6" t="s">
        <v>6916</v>
      </c>
      <c r="K20" s="196" t="n">
        <v>1</v>
      </c>
      <c r="L20" s="196" t="s">
        <v>6461</v>
      </c>
      <c r="M20" s="226" t="s">
        <v>6908</v>
      </c>
      <c r="N20" s="196" t="s">
        <v>6463</v>
      </c>
      <c r="O20" s="28" t="s">
        <v>6464</v>
      </c>
      <c r="P20" s="28" t="s">
        <v>608</v>
      </c>
      <c r="Q20" s="28" t="s">
        <v>6917</v>
      </c>
      <c r="R20" s="28" t="s">
        <v>5513</v>
      </c>
      <c r="S20" s="28" t="s">
        <v>608</v>
      </c>
      <c r="T20" s="28" t="s">
        <v>608</v>
      </c>
      <c r="U20" s="28" t="s">
        <v>6811</v>
      </c>
      <c r="V20" s="226" t="s">
        <v>6918</v>
      </c>
      <c r="W20" s="6" t="s">
        <v>6919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5528</v>
      </c>
      <c r="B21" s="6" t="s">
        <v>6920</v>
      </c>
      <c r="C21" s="224" t="n">
        <v>0.038</v>
      </c>
      <c r="D21" s="196"/>
      <c r="E21" s="196"/>
      <c r="F21" s="28" t="s">
        <v>6921</v>
      </c>
      <c r="G21" s="196" t="s">
        <v>6922</v>
      </c>
      <c r="H21" s="28" t="s">
        <v>6923</v>
      </c>
      <c r="I21" s="28" t="s">
        <v>3338</v>
      </c>
      <c r="J21" s="6" t="s">
        <v>6924</v>
      </c>
      <c r="K21" s="196" t="n">
        <v>2</v>
      </c>
      <c r="L21" s="196" t="s">
        <v>6461</v>
      </c>
      <c r="M21" s="226" t="s">
        <v>6925</v>
      </c>
      <c r="N21" s="196" t="s">
        <v>6926</v>
      </c>
      <c r="O21" s="28" t="s">
        <v>6464</v>
      </c>
      <c r="P21" s="28" t="s">
        <v>608</v>
      </c>
      <c r="Q21" s="28" t="s">
        <v>6927</v>
      </c>
      <c r="R21" s="28" t="s">
        <v>608</v>
      </c>
      <c r="S21" s="28" t="s">
        <v>608</v>
      </c>
      <c r="T21" s="28" t="s">
        <v>608</v>
      </c>
      <c r="U21" s="28" t="s">
        <v>6811</v>
      </c>
      <c r="V21" s="226" t="s">
        <v>6928</v>
      </c>
      <c r="W21" s="6" t="s">
        <v>6929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6930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6436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0" t="s">
        <v>6451</v>
      </c>
      <c r="Y4" s="220" t="s">
        <v>6452</v>
      </c>
      <c r="Z4" s="220" t="s">
        <v>6453</v>
      </c>
      <c r="AH4" s="81" t="s">
        <v>6454</v>
      </c>
    </row>
    <row r="5" customFormat="false" ht="29.25" hidden="false" customHeight="true" outlineLevel="0" collapsed="false">
      <c r="A5" s="28" t="s">
        <v>4323</v>
      </c>
      <c r="B5" s="6" t="s">
        <v>6931</v>
      </c>
      <c r="C5" s="224" t="n">
        <v>1600</v>
      </c>
      <c r="D5" s="222"/>
      <c r="E5" s="222"/>
      <c r="F5" s="28" t="s">
        <v>258</v>
      </c>
      <c r="G5" s="28" t="s">
        <v>608</v>
      </c>
      <c r="H5" s="28" t="s">
        <v>6932</v>
      </c>
      <c r="I5" s="28" t="s">
        <v>6471</v>
      </c>
      <c r="J5" s="6" t="s">
        <v>6933</v>
      </c>
      <c r="K5" s="222" t="n">
        <v>3</v>
      </c>
      <c r="L5" s="222" t="s">
        <v>6461</v>
      </c>
      <c r="M5" s="6" t="s">
        <v>6934</v>
      </c>
      <c r="N5" s="222" t="s">
        <v>6474</v>
      </c>
      <c r="O5" s="28" t="s">
        <v>6464</v>
      </c>
      <c r="P5" s="28" t="s">
        <v>608</v>
      </c>
      <c r="Q5" s="28" t="s">
        <v>6935</v>
      </c>
      <c r="R5" s="28" t="s">
        <v>608</v>
      </c>
      <c r="S5" s="28" t="s">
        <v>608</v>
      </c>
      <c r="T5" s="28" t="s">
        <v>608</v>
      </c>
      <c r="U5" s="28" t="s">
        <v>3561</v>
      </c>
      <c r="V5" s="6" t="s">
        <v>6936</v>
      </c>
      <c r="W5" s="19" t="s">
        <v>6937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4329</v>
      </c>
      <c r="B6" s="6" t="s">
        <v>6938</v>
      </c>
      <c r="C6" s="224" t="n">
        <v>49</v>
      </c>
      <c r="D6" s="222"/>
      <c r="E6" s="222"/>
      <c r="F6" s="28" t="s">
        <v>258</v>
      </c>
      <c r="G6" s="28" t="s">
        <v>608</v>
      </c>
      <c r="H6" s="28" t="s">
        <v>6932</v>
      </c>
      <c r="I6" s="28" t="s">
        <v>6471</v>
      </c>
      <c r="J6" s="6" t="s">
        <v>6933</v>
      </c>
      <c r="K6" s="222" t="n">
        <v>1</v>
      </c>
      <c r="L6" s="222" t="s">
        <v>6461</v>
      </c>
      <c r="M6" s="6" t="s">
        <v>6934</v>
      </c>
      <c r="N6" s="222" t="s">
        <v>6463</v>
      </c>
      <c r="O6" s="28" t="s">
        <v>6464</v>
      </c>
      <c r="P6" s="28" t="s">
        <v>608</v>
      </c>
      <c r="Q6" s="28" t="s">
        <v>6939</v>
      </c>
      <c r="R6" s="28" t="s">
        <v>608</v>
      </c>
      <c r="S6" s="28" t="s">
        <v>6041</v>
      </c>
      <c r="T6" s="28" t="s">
        <v>608</v>
      </c>
      <c r="U6" s="28" t="s">
        <v>3561</v>
      </c>
      <c r="V6" s="6" t="s">
        <v>6940</v>
      </c>
      <c r="W6" s="6" t="s">
        <v>6941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4333</v>
      </c>
      <c r="B7" s="6" t="s">
        <v>6942</v>
      </c>
      <c r="C7" s="224" t="n">
        <v>61</v>
      </c>
      <c r="D7" s="222"/>
      <c r="E7" s="222"/>
      <c r="F7" s="222" t="s">
        <v>264</v>
      </c>
      <c r="G7" s="28" t="s">
        <v>608</v>
      </c>
      <c r="H7" s="28" t="s">
        <v>6932</v>
      </c>
      <c r="I7" s="28" t="s">
        <v>6471</v>
      </c>
      <c r="J7" s="6" t="s">
        <v>6933</v>
      </c>
      <c r="K7" s="222" t="n">
        <v>3</v>
      </c>
      <c r="L7" s="222" t="s">
        <v>6461</v>
      </c>
      <c r="M7" s="6" t="s">
        <v>6934</v>
      </c>
      <c r="N7" s="222" t="s">
        <v>6474</v>
      </c>
      <c r="O7" s="28" t="s">
        <v>6464</v>
      </c>
      <c r="P7" s="28" t="s">
        <v>608</v>
      </c>
      <c r="Q7" s="28" t="s">
        <v>6935</v>
      </c>
      <c r="R7" s="28" t="s">
        <v>608</v>
      </c>
      <c r="S7" s="28" t="s">
        <v>608</v>
      </c>
      <c r="T7" s="28" t="s">
        <v>608</v>
      </c>
      <c r="U7" s="28" t="s">
        <v>3561</v>
      </c>
      <c r="V7" s="6" t="s">
        <v>6943</v>
      </c>
      <c r="W7" s="6" t="s">
        <v>608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4367</v>
      </c>
      <c r="B8" s="6" t="s">
        <v>6944</v>
      </c>
      <c r="C8" s="224" t="n">
        <v>7168</v>
      </c>
      <c r="D8" s="222"/>
      <c r="E8" s="222"/>
      <c r="F8" s="222" t="s">
        <v>6945</v>
      </c>
      <c r="G8" s="28" t="s">
        <v>608</v>
      </c>
      <c r="H8" s="28" t="s">
        <v>6932</v>
      </c>
      <c r="I8" s="28" t="s">
        <v>6471</v>
      </c>
      <c r="J8" s="6" t="s">
        <v>6933</v>
      </c>
      <c r="K8" s="222" t="n">
        <v>3</v>
      </c>
      <c r="L8" s="222" t="s">
        <v>6461</v>
      </c>
      <c r="M8" s="6" t="s">
        <v>6934</v>
      </c>
      <c r="N8" s="222" t="s">
        <v>6474</v>
      </c>
      <c r="O8" s="28" t="s">
        <v>6464</v>
      </c>
      <c r="P8" s="28" t="s">
        <v>608</v>
      </c>
      <c r="Q8" s="28" t="s">
        <v>6935</v>
      </c>
      <c r="R8" s="28" t="s">
        <v>608</v>
      </c>
      <c r="S8" s="28" t="s">
        <v>608</v>
      </c>
      <c r="T8" s="28" t="s">
        <v>608</v>
      </c>
      <c r="U8" s="28" t="s">
        <v>3561</v>
      </c>
      <c r="V8" s="6" t="s">
        <v>6946</v>
      </c>
      <c r="W8" s="6" t="s">
        <v>608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4321</v>
      </c>
      <c r="B9" s="6" t="s">
        <v>6947</v>
      </c>
      <c r="C9" s="224" t="n">
        <v>284</v>
      </c>
      <c r="D9" s="222"/>
      <c r="E9" s="222"/>
      <c r="F9" s="28" t="s">
        <v>258</v>
      </c>
      <c r="G9" s="28" t="s">
        <v>608</v>
      </c>
      <c r="H9" s="28" t="s">
        <v>6948</v>
      </c>
      <c r="I9" s="28" t="s">
        <v>6471</v>
      </c>
      <c r="J9" s="6" t="s">
        <v>6933</v>
      </c>
      <c r="K9" s="222" t="n">
        <v>3</v>
      </c>
      <c r="L9" s="222" t="s">
        <v>6461</v>
      </c>
      <c r="M9" s="6" t="s">
        <v>6934</v>
      </c>
      <c r="N9" s="222" t="s">
        <v>6474</v>
      </c>
      <c r="O9" s="28" t="s">
        <v>6464</v>
      </c>
      <c r="P9" s="28" t="s">
        <v>608</v>
      </c>
      <c r="Q9" s="28" t="s">
        <v>6935</v>
      </c>
      <c r="R9" s="28" t="s">
        <v>608</v>
      </c>
      <c r="S9" s="28" t="s">
        <v>608</v>
      </c>
      <c r="T9" s="28" t="s">
        <v>608</v>
      </c>
      <c r="U9" s="28" t="s">
        <v>3561</v>
      </c>
      <c r="V9" s="6" t="s">
        <v>6949</v>
      </c>
      <c r="W9" s="6" t="s">
        <v>608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4326</v>
      </c>
      <c r="B10" s="6" t="s">
        <v>6950</v>
      </c>
      <c r="C10" s="224" t="n">
        <v>13</v>
      </c>
      <c r="D10" s="222"/>
      <c r="E10" s="222"/>
      <c r="F10" s="28" t="s">
        <v>258</v>
      </c>
      <c r="G10" s="28" t="s">
        <v>608</v>
      </c>
      <c r="H10" s="28" t="s">
        <v>6948</v>
      </c>
      <c r="I10" s="28" t="s">
        <v>6471</v>
      </c>
      <c r="J10" s="6" t="s">
        <v>6933</v>
      </c>
      <c r="K10" s="222" t="n">
        <v>1</v>
      </c>
      <c r="L10" s="222" t="s">
        <v>6461</v>
      </c>
      <c r="M10" s="6" t="s">
        <v>6934</v>
      </c>
      <c r="N10" s="222" t="s">
        <v>6463</v>
      </c>
      <c r="O10" s="28" t="s">
        <v>6464</v>
      </c>
      <c r="P10" s="28" t="s">
        <v>608</v>
      </c>
      <c r="Q10" s="28" t="s">
        <v>6951</v>
      </c>
      <c r="R10" s="28" t="s">
        <v>608</v>
      </c>
      <c r="S10" s="28" t="s">
        <v>6041</v>
      </c>
      <c r="T10" s="28" t="s">
        <v>608</v>
      </c>
      <c r="U10" s="28" t="s">
        <v>3561</v>
      </c>
      <c r="V10" s="6" t="s">
        <v>6952</v>
      </c>
      <c r="W10" s="6" t="s">
        <v>6953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4331</v>
      </c>
      <c r="B11" s="6" t="s">
        <v>6954</v>
      </c>
      <c r="C11" s="224" t="n">
        <v>43</v>
      </c>
      <c r="D11" s="222"/>
      <c r="E11" s="222"/>
      <c r="F11" s="222" t="s">
        <v>264</v>
      </c>
      <c r="G11" s="222" t="s">
        <v>6474</v>
      </c>
      <c r="H11" s="28" t="s">
        <v>6955</v>
      </c>
      <c r="I11" s="28" t="s">
        <v>608</v>
      </c>
      <c r="J11" s="6" t="s">
        <v>6956</v>
      </c>
      <c r="K11" s="222" t="n">
        <v>1</v>
      </c>
      <c r="L11" s="222" t="s">
        <v>6461</v>
      </c>
      <c r="M11" s="6" t="s">
        <v>6957</v>
      </c>
      <c r="N11" s="222" t="s">
        <v>6463</v>
      </c>
      <c r="O11" s="28" t="s">
        <v>6464</v>
      </c>
      <c r="P11" s="28" t="s">
        <v>608</v>
      </c>
      <c r="Q11" s="28" t="s">
        <v>6958</v>
      </c>
      <c r="R11" s="28" t="s">
        <v>608</v>
      </c>
      <c r="S11" s="28" t="s">
        <v>6041</v>
      </c>
      <c r="T11" s="28" t="s">
        <v>608</v>
      </c>
      <c r="U11" s="28" t="s">
        <v>6959</v>
      </c>
      <c r="V11" s="6" t="s">
        <v>6960</v>
      </c>
      <c r="W11" s="6" t="s">
        <v>6961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4369</v>
      </c>
      <c r="B12" s="6" t="s">
        <v>6962</v>
      </c>
      <c r="C12" s="224" t="n">
        <v>128</v>
      </c>
      <c r="D12" s="222"/>
      <c r="E12" s="222"/>
      <c r="F12" s="222" t="s">
        <v>316</v>
      </c>
      <c r="G12" s="28" t="s">
        <v>608</v>
      </c>
      <c r="H12" s="28" t="s">
        <v>6963</v>
      </c>
      <c r="I12" s="28" t="s">
        <v>608</v>
      </c>
      <c r="J12" s="6" t="s">
        <v>6956</v>
      </c>
      <c r="K12" s="222" t="n">
        <v>3</v>
      </c>
      <c r="L12" s="222" t="s">
        <v>6461</v>
      </c>
      <c r="M12" s="6" t="s">
        <v>6957</v>
      </c>
      <c r="N12" s="222" t="s">
        <v>6599</v>
      </c>
      <c r="O12" s="28" t="s">
        <v>6464</v>
      </c>
      <c r="P12" s="28" t="s">
        <v>608</v>
      </c>
      <c r="Q12" s="28" t="s">
        <v>6964</v>
      </c>
      <c r="R12" s="28" t="s">
        <v>608</v>
      </c>
      <c r="S12" s="28" t="s">
        <v>608</v>
      </c>
      <c r="T12" s="28" t="s">
        <v>608</v>
      </c>
      <c r="U12" s="28" t="s">
        <v>6959</v>
      </c>
      <c r="V12" s="6" t="s">
        <v>6965</v>
      </c>
      <c r="W12" s="6" t="s">
        <v>6966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4335</v>
      </c>
      <c r="B13" s="6" t="s">
        <v>6967</v>
      </c>
      <c r="C13" s="224" t="n">
        <v>512</v>
      </c>
      <c r="D13" s="222"/>
      <c r="E13" s="222"/>
      <c r="F13" s="222" t="s">
        <v>6945</v>
      </c>
      <c r="G13" s="222" t="s">
        <v>6968</v>
      </c>
      <c r="H13" s="28" t="s">
        <v>6969</v>
      </c>
      <c r="I13" s="28" t="s">
        <v>608</v>
      </c>
      <c r="J13" s="6" t="s">
        <v>6956</v>
      </c>
      <c r="K13" s="222" t="n">
        <v>1</v>
      </c>
      <c r="L13" s="222" t="s">
        <v>6461</v>
      </c>
      <c r="M13" s="6" t="s">
        <v>6957</v>
      </c>
      <c r="N13" s="222" t="s">
        <v>6463</v>
      </c>
      <c r="O13" s="28" t="s">
        <v>6464</v>
      </c>
      <c r="P13" s="28" t="s">
        <v>608</v>
      </c>
      <c r="Q13" s="28" t="s">
        <v>6970</v>
      </c>
      <c r="R13" s="28" t="s">
        <v>608</v>
      </c>
      <c r="S13" s="28" t="s">
        <v>6041</v>
      </c>
      <c r="T13" s="28" t="s">
        <v>608</v>
      </c>
      <c r="U13" s="28" t="s">
        <v>6959</v>
      </c>
      <c r="V13" s="6" t="s">
        <v>6971</v>
      </c>
      <c r="W13" s="6" t="s">
        <v>6972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4338</v>
      </c>
      <c r="B14" s="6" t="s">
        <v>6973</v>
      </c>
      <c r="C14" s="224" t="n">
        <v>256</v>
      </c>
      <c r="D14" s="222"/>
      <c r="E14" s="222"/>
      <c r="F14" s="222" t="s">
        <v>316</v>
      </c>
      <c r="G14" s="28" t="s">
        <v>608</v>
      </c>
      <c r="H14" s="28" t="s">
        <v>6955</v>
      </c>
      <c r="I14" s="28" t="s">
        <v>608</v>
      </c>
      <c r="J14" s="6" t="s">
        <v>6956</v>
      </c>
      <c r="K14" s="222" t="n">
        <v>1</v>
      </c>
      <c r="L14" s="222" t="s">
        <v>6461</v>
      </c>
      <c r="M14" s="6" t="s">
        <v>6957</v>
      </c>
      <c r="N14" s="222" t="s">
        <v>6463</v>
      </c>
      <c r="O14" s="28" t="s">
        <v>6464</v>
      </c>
      <c r="P14" s="28" t="s">
        <v>608</v>
      </c>
      <c r="Q14" s="28" t="s">
        <v>6974</v>
      </c>
      <c r="R14" s="28" t="s">
        <v>608</v>
      </c>
      <c r="S14" s="28" t="s">
        <v>6041</v>
      </c>
      <c r="T14" s="28" t="s">
        <v>608</v>
      </c>
      <c r="U14" s="28" t="s">
        <v>6959</v>
      </c>
      <c r="V14" s="6" t="s">
        <v>6975</v>
      </c>
      <c r="W14" s="6" t="s">
        <v>6976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4340</v>
      </c>
      <c r="B15" s="6" t="s">
        <v>6977</v>
      </c>
      <c r="C15" s="224" t="n">
        <v>384</v>
      </c>
      <c r="D15" s="222"/>
      <c r="E15" s="222"/>
      <c r="F15" s="222" t="s">
        <v>316</v>
      </c>
      <c r="G15" s="28" t="s">
        <v>608</v>
      </c>
      <c r="H15" s="28" t="s">
        <v>6963</v>
      </c>
      <c r="I15" s="28" t="s">
        <v>608</v>
      </c>
      <c r="J15" s="6" t="s">
        <v>6956</v>
      </c>
      <c r="K15" s="222" t="n">
        <v>1</v>
      </c>
      <c r="L15" s="222" t="s">
        <v>6461</v>
      </c>
      <c r="M15" s="6" t="s">
        <v>6957</v>
      </c>
      <c r="N15" s="222" t="s">
        <v>6463</v>
      </c>
      <c r="O15" s="28" t="s">
        <v>6464</v>
      </c>
      <c r="P15" s="28" t="s">
        <v>608</v>
      </c>
      <c r="Q15" s="28" t="s">
        <v>6978</v>
      </c>
      <c r="R15" s="28" t="s">
        <v>608</v>
      </c>
      <c r="S15" s="28" t="s">
        <v>6041</v>
      </c>
      <c r="T15" s="28" t="s">
        <v>608</v>
      </c>
      <c r="U15" s="28" t="s">
        <v>6959</v>
      </c>
      <c r="V15" s="6" t="s">
        <v>6979</v>
      </c>
      <c r="W15" s="6" t="s">
        <v>6980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4343</v>
      </c>
      <c r="B16" s="6" t="s">
        <v>6981</v>
      </c>
      <c r="C16" s="224" t="n">
        <v>6</v>
      </c>
      <c r="D16" s="222"/>
      <c r="E16" s="222"/>
      <c r="F16" s="222" t="s">
        <v>316</v>
      </c>
      <c r="G16" s="28" t="s">
        <v>608</v>
      </c>
      <c r="H16" s="28" t="s">
        <v>6969</v>
      </c>
      <c r="I16" s="28" t="s">
        <v>608</v>
      </c>
      <c r="J16" s="6" t="s">
        <v>6956</v>
      </c>
      <c r="K16" s="222" t="n">
        <v>1</v>
      </c>
      <c r="L16" s="222" t="s">
        <v>6461</v>
      </c>
      <c r="M16" s="6" t="s">
        <v>6957</v>
      </c>
      <c r="N16" s="222" t="s">
        <v>6463</v>
      </c>
      <c r="O16" s="28" t="s">
        <v>6464</v>
      </c>
      <c r="P16" s="28" t="s">
        <v>608</v>
      </c>
      <c r="Q16" s="28" t="s">
        <v>6982</v>
      </c>
      <c r="R16" s="28" t="s">
        <v>608</v>
      </c>
      <c r="S16" s="28" t="s">
        <v>6041</v>
      </c>
      <c r="T16" s="28" t="s">
        <v>608</v>
      </c>
      <c r="U16" s="28" t="s">
        <v>6959</v>
      </c>
      <c r="V16" s="6" t="s">
        <v>6983</v>
      </c>
      <c r="W16" s="6" t="s">
        <v>6984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4347</v>
      </c>
      <c r="B17" s="6" t="s">
        <v>6985</v>
      </c>
      <c r="C17" s="224" t="n">
        <v>1</v>
      </c>
      <c r="D17" s="222"/>
      <c r="E17" s="222"/>
      <c r="F17" s="222" t="s">
        <v>316</v>
      </c>
      <c r="G17" s="28" t="s">
        <v>608</v>
      </c>
      <c r="H17" s="28" t="s">
        <v>6969</v>
      </c>
      <c r="I17" s="28" t="s">
        <v>608</v>
      </c>
      <c r="J17" s="6" t="s">
        <v>6956</v>
      </c>
      <c r="K17" s="222" t="n">
        <v>1</v>
      </c>
      <c r="L17" s="222" t="s">
        <v>6461</v>
      </c>
      <c r="M17" s="6" t="s">
        <v>6957</v>
      </c>
      <c r="N17" s="222" t="s">
        <v>6463</v>
      </c>
      <c r="O17" s="28" t="s">
        <v>6464</v>
      </c>
      <c r="P17" s="28" t="s">
        <v>608</v>
      </c>
      <c r="Q17" s="28" t="s">
        <v>6986</v>
      </c>
      <c r="R17" s="28" t="s">
        <v>608</v>
      </c>
      <c r="S17" s="28" t="s">
        <v>6041</v>
      </c>
      <c r="T17" s="28" t="s">
        <v>608</v>
      </c>
      <c r="U17" s="28" t="s">
        <v>6959</v>
      </c>
      <c r="V17" s="6" t="s">
        <v>6987</v>
      </c>
      <c r="W17" s="6" t="s">
        <v>6988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4351</v>
      </c>
      <c r="B18" s="6" t="s">
        <v>6989</v>
      </c>
      <c r="C18" s="224" t="n">
        <v>129280</v>
      </c>
      <c r="D18" s="222"/>
      <c r="E18" s="222"/>
      <c r="F18" s="28" t="s">
        <v>6990</v>
      </c>
      <c r="G18" s="28" t="s">
        <v>608</v>
      </c>
      <c r="H18" s="28" t="s">
        <v>6969</v>
      </c>
      <c r="I18" s="28" t="s">
        <v>608</v>
      </c>
      <c r="J18" s="6" t="s">
        <v>6956</v>
      </c>
      <c r="K18" s="222" t="n">
        <v>1</v>
      </c>
      <c r="L18" s="222" t="s">
        <v>6461</v>
      </c>
      <c r="M18" s="6" t="s">
        <v>6957</v>
      </c>
      <c r="N18" s="222" t="s">
        <v>6463</v>
      </c>
      <c r="O18" s="28" t="s">
        <v>6464</v>
      </c>
      <c r="P18" s="28" t="s">
        <v>608</v>
      </c>
      <c r="Q18" s="28" t="s">
        <v>6991</v>
      </c>
      <c r="R18" s="28" t="s">
        <v>608</v>
      </c>
      <c r="S18" s="28" t="s">
        <v>6041</v>
      </c>
      <c r="T18" s="28" t="s">
        <v>608</v>
      </c>
      <c r="U18" s="28" t="s">
        <v>6959</v>
      </c>
      <c r="V18" s="6" t="s">
        <v>6992</v>
      </c>
      <c r="W18" s="6" t="s">
        <v>6993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4356</v>
      </c>
      <c r="B19" s="6" t="s">
        <v>6994</v>
      </c>
      <c r="C19" s="224" t="n">
        <v>0.512</v>
      </c>
      <c r="D19" s="222"/>
      <c r="E19" s="222"/>
      <c r="F19" s="28" t="s">
        <v>93</v>
      </c>
      <c r="G19" s="222" t="s">
        <v>6995</v>
      </c>
      <c r="H19" s="28" t="s">
        <v>6955</v>
      </c>
      <c r="I19" s="28" t="s">
        <v>608</v>
      </c>
      <c r="J19" s="6" t="s">
        <v>6956</v>
      </c>
      <c r="K19" s="222" t="n">
        <v>1</v>
      </c>
      <c r="L19" s="222" t="s">
        <v>6461</v>
      </c>
      <c r="M19" s="6" t="s">
        <v>6957</v>
      </c>
      <c r="N19" s="222" t="s">
        <v>6463</v>
      </c>
      <c r="O19" s="28" t="s">
        <v>6464</v>
      </c>
      <c r="P19" s="28" t="s">
        <v>608</v>
      </c>
      <c r="Q19" s="28" t="s">
        <v>6996</v>
      </c>
      <c r="R19" s="28" t="s">
        <v>608</v>
      </c>
      <c r="S19" s="28" t="s">
        <v>6041</v>
      </c>
      <c r="T19" s="28" t="s">
        <v>608</v>
      </c>
      <c r="U19" s="28" t="s">
        <v>6959</v>
      </c>
      <c r="V19" s="6" t="s">
        <v>6997</v>
      </c>
      <c r="W19" s="6" t="s">
        <v>6998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4360</v>
      </c>
      <c r="B20" s="6" t="s">
        <v>6999</v>
      </c>
      <c r="C20" s="224" t="n">
        <v>128</v>
      </c>
      <c r="D20" s="222"/>
      <c r="E20" s="222"/>
      <c r="F20" s="28" t="s">
        <v>97</v>
      </c>
      <c r="G20" s="28" t="s">
        <v>608</v>
      </c>
      <c r="H20" s="28" t="s">
        <v>6969</v>
      </c>
      <c r="I20" s="28" t="s">
        <v>608</v>
      </c>
      <c r="J20" s="6" t="s">
        <v>6956</v>
      </c>
      <c r="K20" s="222" t="n">
        <v>1</v>
      </c>
      <c r="L20" s="222" t="s">
        <v>6461</v>
      </c>
      <c r="M20" s="6" t="s">
        <v>6957</v>
      </c>
      <c r="N20" s="222" t="s">
        <v>6463</v>
      </c>
      <c r="O20" s="28" t="s">
        <v>6464</v>
      </c>
      <c r="P20" s="28" t="s">
        <v>608</v>
      </c>
      <c r="Q20" s="28" t="s">
        <v>7000</v>
      </c>
      <c r="R20" s="28" t="s">
        <v>608</v>
      </c>
      <c r="S20" s="28" t="s">
        <v>6041</v>
      </c>
      <c r="T20" s="28" t="s">
        <v>608</v>
      </c>
      <c r="U20" s="28" t="s">
        <v>6959</v>
      </c>
      <c r="V20" s="6" t="s">
        <v>7001</v>
      </c>
      <c r="W20" s="6" t="s">
        <v>7002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4364</v>
      </c>
      <c r="B21" s="6" t="s">
        <v>7003</v>
      </c>
      <c r="C21" s="224" t="n">
        <v>128</v>
      </c>
      <c r="D21" s="222"/>
      <c r="E21" s="222"/>
      <c r="F21" s="28" t="s">
        <v>279</v>
      </c>
      <c r="G21" s="28" t="s">
        <v>608</v>
      </c>
      <c r="H21" s="28" t="s">
        <v>6969</v>
      </c>
      <c r="I21" s="28" t="s">
        <v>608</v>
      </c>
      <c r="J21" s="6" t="s">
        <v>6956</v>
      </c>
      <c r="K21" s="222" t="n">
        <v>1</v>
      </c>
      <c r="L21" s="222" t="s">
        <v>6461</v>
      </c>
      <c r="M21" s="6" t="s">
        <v>6957</v>
      </c>
      <c r="N21" s="222" t="s">
        <v>6463</v>
      </c>
      <c r="O21" s="28" t="s">
        <v>6464</v>
      </c>
      <c r="P21" s="28" t="s">
        <v>608</v>
      </c>
      <c r="Q21" s="28" t="s">
        <v>7004</v>
      </c>
      <c r="R21" s="28" t="s">
        <v>608</v>
      </c>
      <c r="S21" s="28" t="s">
        <v>6041</v>
      </c>
      <c r="T21" s="28" t="s">
        <v>608</v>
      </c>
      <c r="U21" s="28" t="s">
        <v>6959</v>
      </c>
      <c r="V21" s="6" t="s">
        <v>7005</v>
      </c>
      <c r="W21" s="6" t="s">
        <v>7006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4379</v>
      </c>
      <c r="B22" s="6" t="s">
        <v>7007</v>
      </c>
      <c r="C22" s="224" t="n">
        <v>1024</v>
      </c>
      <c r="D22" s="222"/>
      <c r="E22" s="222"/>
      <c r="F22" s="222" t="s">
        <v>7008</v>
      </c>
      <c r="G22" s="28" t="s">
        <v>608</v>
      </c>
      <c r="H22" s="28" t="s">
        <v>6969</v>
      </c>
      <c r="I22" s="28" t="s">
        <v>608</v>
      </c>
      <c r="J22" s="6" t="s">
        <v>6956</v>
      </c>
      <c r="K22" s="222" t="n">
        <v>3</v>
      </c>
      <c r="L22" s="222" t="s">
        <v>6461</v>
      </c>
      <c r="M22" s="6" t="s">
        <v>6957</v>
      </c>
      <c r="N22" s="222" t="s">
        <v>6599</v>
      </c>
      <c r="O22" s="28" t="s">
        <v>6464</v>
      </c>
      <c r="P22" s="28" t="s">
        <v>608</v>
      </c>
      <c r="Q22" s="28" t="s">
        <v>6964</v>
      </c>
      <c r="R22" s="28" t="s">
        <v>608</v>
      </c>
      <c r="S22" s="28" t="s">
        <v>608</v>
      </c>
      <c r="T22" s="28" t="s">
        <v>608</v>
      </c>
      <c r="U22" s="28" t="s">
        <v>6959</v>
      </c>
      <c r="V22" s="6" t="s">
        <v>7009</v>
      </c>
      <c r="W22" s="6" t="s">
        <v>7010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7011</v>
      </c>
      <c r="B23" s="6" t="s">
        <v>7012</v>
      </c>
      <c r="C23" s="224" t="n">
        <v>4</v>
      </c>
      <c r="D23" s="222"/>
      <c r="E23" s="222"/>
      <c r="F23" s="28" t="s">
        <v>7013</v>
      </c>
      <c r="G23" s="28" t="s">
        <v>608</v>
      </c>
      <c r="H23" s="28" t="s">
        <v>6969</v>
      </c>
      <c r="I23" s="28" t="s">
        <v>608</v>
      </c>
      <c r="J23" s="6" t="s">
        <v>6956</v>
      </c>
      <c r="K23" s="222" t="n">
        <v>3</v>
      </c>
      <c r="L23" s="222" t="s">
        <v>6461</v>
      </c>
      <c r="M23" s="6" t="s">
        <v>6957</v>
      </c>
      <c r="N23" s="222" t="s">
        <v>6599</v>
      </c>
      <c r="O23" s="28" t="s">
        <v>6464</v>
      </c>
      <c r="P23" s="28" t="s">
        <v>608</v>
      </c>
      <c r="Q23" s="28" t="s">
        <v>6964</v>
      </c>
      <c r="R23" s="28" t="s">
        <v>608</v>
      </c>
      <c r="S23" s="28" t="s">
        <v>608</v>
      </c>
      <c r="T23" s="28" t="s">
        <v>608</v>
      </c>
      <c r="U23" s="28" t="s">
        <v>6959</v>
      </c>
      <c r="V23" s="6" t="s">
        <v>7009</v>
      </c>
      <c r="W23" s="6" t="s">
        <v>608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4703</v>
      </c>
      <c r="B24" s="6" t="s">
        <v>7014</v>
      </c>
      <c r="C24" s="224" t="n">
        <v>671</v>
      </c>
      <c r="D24" s="222"/>
      <c r="E24" s="222"/>
      <c r="F24" s="28" t="s">
        <v>258</v>
      </c>
      <c r="G24" s="28" t="s">
        <v>608</v>
      </c>
      <c r="H24" s="28" t="s">
        <v>7015</v>
      </c>
      <c r="I24" s="28" t="s">
        <v>608</v>
      </c>
      <c r="J24" s="6" t="s">
        <v>6956</v>
      </c>
      <c r="K24" s="222" t="n">
        <v>3</v>
      </c>
      <c r="L24" s="222" t="s">
        <v>6461</v>
      </c>
      <c r="M24" s="6" t="s">
        <v>6957</v>
      </c>
      <c r="N24" s="222" t="s">
        <v>6599</v>
      </c>
      <c r="O24" s="28" t="s">
        <v>6464</v>
      </c>
      <c r="P24" s="28" t="s">
        <v>608</v>
      </c>
      <c r="Q24" s="28" t="s">
        <v>6964</v>
      </c>
      <c r="R24" s="28" t="s">
        <v>608</v>
      </c>
      <c r="S24" s="28" t="s">
        <v>608</v>
      </c>
      <c r="T24" s="28" t="s">
        <v>608</v>
      </c>
      <c r="U24" s="28" t="s">
        <v>6959</v>
      </c>
      <c r="V24" s="6" t="s">
        <v>7016</v>
      </c>
      <c r="W24" s="6" t="s">
        <v>608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4706</v>
      </c>
      <c r="B25" s="6" t="s">
        <v>7017</v>
      </c>
      <c r="C25" s="224" t="n">
        <v>37</v>
      </c>
      <c r="D25" s="222"/>
      <c r="E25" s="222"/>
      <c r="F25" s="28" t="s">
        <v>258</v>
      </c>
      <c r="G25" s="28" t="s">
        <v>608</v>
      </c>
      <c r="H25" s="28" t="s">
        <v>7015</v>
      </c>
      <c r="I25" s="28" t="s">
        <v>608</v>
      </c>
      <c r="J25" s="6" t="s">
        <v>6956</v>
      </c>
      <c r="K25" s="222" t="n">
        <v>3</v>
      </c>
      <c r="L25" s="222" t="s">
        <v>6461</v>
      </c>
      <c r="M25" s="6" t="s">
        <v>6957</v>
      </c>
      <c r="N25" s="222" t="s">
        <v>6599</v>
      </c>
      <c r="O25" s="28" t="s">
        <v>6464</v>
      </c>
      <c r="P25" s="28" t="s">
        <v>608</v>
      </c>
      <c r="Q25" s="28" t="s">
        <v>6964</v>
      </c>
      <c r="R25" s="28" t="s">
        <v>608</v>
      </c>
      <c r="S25" s="28" t="s">
        <v>608</v>
      </c>
      <c r="T25" s="28" t="s">
        <v>608</v>
      </c>
      <c r="U25" s="28" t="s">
        <v>6959</v>
      </c>
      <c r="V25" s="6" t="s">
        <v>7018</v>
      </c>
      <c r="W25" s="6" t="s">
        <v>608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4709</v>
      </c>
      <c r="B26" s="6" t="s">
        <v>7019</v>
      </c>
      <c r="C26" s="224" t="n">
        <v>61</v>
      </c>
      <c r="D26" s="222"/>
      <c r="E26" s="222"/>
      <c r="F26" s="222" t="s">
        <v>264</v>
      </c>
      <c r="G26" s="28" t="s">
        <v>608</v>
      </c>
      <c r="H26" s="28" t="s">
        <v>7015</v>
      </c>
      <c r="I26" s="28" t="s">
        <v>608</v>
      </c>
      <c r="J26" s="6" t="s">
        <v>6956</v>
      </c>
      <c r="K26" s="222" t="n">
        <v>3</v>
      </c>
      <c r="L26" s="222" t="s">
        <v>6461</v>
      </c>
      <c r="M26" s="6" t="s">
        <v>6957</v>
      </c>
      <c r="N26" s="222" t="s">
        <v>6599</v>
      </c>
      <c r="O26" s="28" t="s">
        <v>6464</v>
      </c>
      <c r="P26" s="28" t="s">
        <v>608</v>
      </c>
      <c r="Q26" s="28" t="s">
        <v>6964</v>
      </c>
      <c r="R26" s="28" t="s">
        <v>608</v>
      </c>
      <c r="S26" s="28" t="s">
        <v>608</v>
      </c>
      <c r="T26" s="28" t="s">
        <v>608</v>
      </c>
      <c r="U26" s="28" t="s">
        <v>6959</v>
      </c>
      <c r="V26" s="6" t="s">
        <v>7020</v>
      </c>
      <c r="W26" s="6" t="s">
        <v>608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4712</v>
      </c>
      <c r="B27" s="6" t="s">
        <v>7021</v>
      </c>
      <c r="C27" s="224" t="n">
        <v>7168</v>
      </c>
      <c r="D27" s="222"/>
      <c r="E27" s="222"/>
      <c r="F27" s="222" t="s">
        <v>6945</v>
      </c>
      <c r="G27" s="28" t="s">
        <v>608</v>
      </c>
      <c r="H27" s="28" t="s">
        <v>7015</v>
      </c>
      <c r="I27" s="28" t="s">
        <v>608</v>
      </c>
      <c r="J27" s="6" t="s">
        <v>6956</v>
      </c>
      <c r="K27" s="222" t="n">
        <v>3</v>
      </c>
      <c r="L27" s="222" t="s">
        <v>6461</v>
      </c>
      <c r="M27" s="6" t="s">
        <v>6957</v>
      </c>
      <c r="N27" s="222" t="s">
        <v>6599</v>
      </c>
      <c r="O27" s="28" t="s">
        <v>6464</v>
      </c>
      <c r="P27" s="28" t="s">
        <v>608</v>
      </c>
      <c r="Q27" s="28" t="s">
        <v>6964</v>
      </c>
      <c r="R27" s="28" t="s">
        <v>608</v>
      </c>
      <c r="S27" s="28" t="s">
        <v>608</v>
      </c>
      <c r="T27" s="28" t="s">
        <v>608</v>
      </c>
      <c r="U27" s="28" t="s">
        <v>6959</v>
      </c>
      <c r="V27" s="6" t="s">
        <v>7022</v>
      </c>
      <c r="W27" s="6" t="s">
        <v>608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4715</v>
      </c>
      <c r="B28" s="6" t="s">
        <v>7023</v>
      </c>
      <c r="C28" s="224" t="n">
        <v>256</v>
      </c>
      <c r="D28" s="222"/>
      <c r="E28" s="222"/>
      <c r="F28" s="222" t="s">
        <v>316</v>
      </c>
      <c r="G28" s="28" t="s">
        <v>608</v>
      </c>
      <c r="H28" s="28" t="s">
        <v>7015</v>
      </c>
      <c r="I28" s="28" t="s">
        <v>608</v>
      </c>
      <c r="J28" s="6" t="s">
        <v>6956</v>
      </c>
      <c r="K28" s="222" t="n">
        <v>3</v>
      </c>
      <c r="L28" s="222" t="s">
        <v>6461</v>
      </c>
      <c r="M28" s="6" t="s">
        <v>6957</v>
      </c>
      <c r="N28" s="222" t="s">
        <v>6599</v>
      </c>
      <c r="O28" s="28" t="s">
        <v>6464</v>
      </c>
      <c r="P28" s="28" t="s">
        <v>608</v>
      </c>
      <c r="Q28" s="28" t="s">
        <v>6964</v>
      </c>
      <c r="R28" s="28" t="s">
        <v>608</v>
      </c>
      <c r="S28" s="28" t="s">
        <v>608</v>
      </c>
      <c r="T28" s="28" t="s">
        <v>608</v>
      </c>
      <c r="U28" s="28" t="s">
        <v>6959</v>
      </c>
      <c r="V28" s="6" t="s">
        <v>7024</v>
      </c>
      <c r="W28" s="6" t="s">
        <v>608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4719</v>
      </c>
      <c r="B29" s="6" t="s">
        <v>7025</v>
      </c>
      <c r="C29" s="224" t="n">
        <v>8</v>
      </c>
      <c r="D29" s="222"/>
      <c r="E29" s="222"/>
      <c r="F29" s="222" t="s">
        <v>316</v>
      </c>
      <c r="G29" s="28" t="s">
        <v>608</v>
      </c>
      <c r="H29" s="28" t="s">
        <v>7015</v>
      </c>
      <c r="I29" s="28" t="s">
        <v>608</v>
      </c>
      <c r="J29" s="6" t="s">
        <v>6956</v>
      </c>
      <c r="K29" s="222" t="n">
        <v>3</v>
      </c>
      <c r="L29" s="222" t="s">
        <v>6461</v>
      </c>
      <c r="M29" s="6" t="s">
        <v>6957</v>
      </c>
      <c r="N29" s="222" t="s">
        <v>6599</v>
      </c>
      <c r="O29" s="28" t="s">
        <v>6464</v>
      </c>
      <c r="P29" s="28" t="s">
        <v>608</v>
      </c>
      <c r="Q29" s="28" t="s">
        <v>6964</v>
      </c>
      <c r="R29" s="28" t="s">
        <v>608</v>
      </c>
      <c r="S29" s="28" t="s">
        <v>608</v>
      </c>
      <c r="T29" s="28" t="s">
        <v>608</v>
      </c>
      <c r="U29" s="28" t="s">
        <v>6959</v>
      </c>
      <c r="V29" s="6" t="s">
        <v>7026</v>
      </c>
      <c r="W29" s="6" t="s">
        <v>608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4722</v>
      </c>
      <c r="B30" s="6" t="s">
        <v>7027</v>
      </c>
      <c r="C30" s="224" t="n">
        <v>1</v>
      </c>
      <c r="D30" s="222"/>
      <c r="E30" s="222"/>
      <c r="F30" s="222" t="s">
        <v>316</v>
      </c>
      <c r="G30" s="28" t="s">
        <v>608</v>
      </c>
      <c r="H30" s="28" t="s">
        <v>7015</v>
      </c>
      <c r="I30" s="28" t="s">
        <v>608</v>
      </c>
      <c r="J30" s="6" t="s">
        <v>6956</v>
      </c>
      <c r="K30" s="222" t="n">
        <v>3</v>
      </c>
      <c r="L30" s="222" t="s">
        <v>6461</v>
      </c>
      <c r="M30" s="6" t="s">
        <v>6957</v>
      </c>
      <c r="N30" s="222" t="s">
        <v>6599</v>
      </c>
      <c r="O30" s="28" t="s">
        <v>6464</v>
      </c>
      <c r="P30" s="28" t="s">
        <v>608</v>
      </c>
      <c r="Q30" s="28" t="s">
        <v>6964</v>
      </c>
      <c r="R30" s="28" t="s">
        <v>608</v>
      </c>
      <c r="S30" s="28" t="s">
        <v>608</v>
      </c>
      <c r="T30" s="28" t="s">
        <v>608</v>
      </c>
      <c r="U30" s="28" t="s">
        <v>6959</v>
      </c>
      <c r="V30" s="6" t="s">
        <v>7028</v>
      </c>
      <c r="W30" s="6" t="s">
        <v>608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4725</v>
      </c>
      <c r="B31" s="6" t="s">
        <v>7029</v>
      </c>
      <c r="C31" s="224" t="n">
        <v>129280</v>
      </c>
      <c r="D31" s="222"/>
      <c r="E31" s="222"/>
      <c r="F31" s="28" t="s">
        <v>6990</v>
      </c>
      <c r="G31" s="28" t="s">
        <v>608</v>
      </c>
      <c r="H31" s="28" t="s">
        <v>7015</v>
      </c>
      <c r="I31" s="28" t="s">
        <v>608</v>
      </c>
      <c r="J31" s="6" t="s">
        <v>6956</v>
      </c>
      <c r="K31" s="222" t="n">
        <v>3</v>
      </c>
      <c r="L31" s="222" t="s">
        <v>6461</v>
      </c>
      <c r="M31" s="6" t="s">
        <v>6957</v>
      </c>
      <c r="N31" s="222" t="s">
        <v>6599</v>
      </c>
      <c r="O31" s="28" t="s">
        <v>6464</v>
      </c>
      <c r="P31" s="28" t="s">
        <v>608</v>
      </c>
      <c r="Q31" s="28" t="s">
        <v>6964</v>
      </c>
      <c r="R31" s="28" t="s">
        <v>608</v>
      </c>
      <c r="S31" s="28" t="s">
        <v>608</v>
      </c>
      <c r="T31" s="28" t="s">
        <v>608</v>
      </c>
      <c r="U31" s="28" t="s">
        <v>6959</v>
      </c>
      <c r="V31" s="6" t="s">
        <v>7030</v>
      </c>
      <c r="W31" s="6" t="s">
        <v>608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4728</v>
      </c>
      <c r="B32" s="6" t="s">
        <v>7031</v>
      </c>
      <c r="C32" s="224" t="n">
        <v>576</v>
      </c>
      <c r="D32" s="222"/>
      <c r="E32" s="222"/>
      <c r="F32" s="222" t="s">
        <v>6945</v>
      </c>
      <c r="G32" s="28" t="s">
        <v>7032</v>
      </c>
      <c r="H32" s="28" t="s">
        <v>7015</v>
      </c>
      <c r="I32" s="28" t="s">
        <v>608</v>
      </c>
      <c r="J32" s="6" t="s">
        <v>6956</v>
      </c>
      <c r="K32" s="222" t="n">
        <v>3</v>
      </c>
      <c r="L32" s="222" t="s">
        <v>6461</v>
      </c>
      <c r="M32" s="6" t="s">
        <v>6957</v>
      </c>
      <c r="N32" s="222" t="s">
        <v>6599</v>
      </c>
      <c r="O32" s="28" t="s">
        <v>6464</v>
      </c>
      <c r="P32" s="28" t="s">
        <v>608</v>
      </c>
      <c r="Q32" s="28" t="s">
        <v>6964</v>
      </c>
      <c r="R32" s="28" t="s">
        <v>608</v>
      </c>
      <c r="S32" s="28" t="s">
        <v>608</v>
      </c>
      <c r="T32" s="28" t="s">
        <v>608</v>
      </c>
      <c r="U32" s="28" t="s">
        <v>6959</v>
      </c>
      <c r="V32" s="6" t="s">
        <v>7033</v>
      </c>
      <c r="W32" s="6" t="s">
        <v>7034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4858</v>
      </c>
      <c r="B33" s="6" t="s">
        <v>7035</v>
      </c>
      <c r="C33" s="224" t="n">
        <v>32</v>
      </c>
      <c r="D33" s="222"/>
      <c r="E33" s="222"/>
      <c r="F33" s="28" t="s">
        <v>942</v>
      </c>
      <c r="G33" s="28" t="s">
        <v>608</v>
      </c>
      <c r="H33" s="28" t="s">
        <v>6948</v>
      </c>
      <c r="I33" s="28" t="s">
        <v>6485</v>
      </c>
      <c r="J33" s="6" t="s">
        <v>7036</v>
      </c>
      <c r="K33" s="222" t="n">
        <v>1</v>
      </c>
      <c r="L33" s="222" t="s">
        <v>6461</v>
      </c>
      <c r="M33" s="6" t="s">
        <v>7037</v>
      </c>
      <c r="N33" s="222" t="s">
        <v>7038</v>
      </c>
      <c r="O33" s="28" t="s">
        <v>6464</v>
      </c>
      <c r="P33" s="28" t="s">
        <v>608</v>
      </c>
      <c r="Q33" s="28" t="s">
        <v>7039</v>
      </c>
      <c r="R33" s="28" t="s">
        <v>608</v>
      </c>
      <c r="S33" s="28" t="s">
        <v>608</v>
      </c>
      <c r="T33" s="28" t="s">
        <v>608</v>
      </c>
      <c r="U33" s="28" t="s">
        <v>7040</v>
      </c>
      <c r="V33" s="6" t="s">
        <v>7041</v>
      </c>
      <c r="W33" s="6" t="s">
        <v>608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4860</v>
      </c>
      <c r="B34" s="6" t="s">
        <v>7042</v>
      </c>
      <c r="C34" s="224" t="n">
        <v>33</v>
      </c>
      <c r="D34" s="222"/>
      <c r="E34" s="222"/>
      <c r="F34" s="28" t="s">
        <v>942</v>
      </c>
      <c r="G34" s="28" t="s">
        <v>608</v>
      </c>
      <c r="H34" s="28" t="s">
        <v>6932</v>
      </c>
      <c r="I34" s="28" t="s">
        <v>6485</v>
      </c>
      <c r="J34" s="6" t="s">
        <v>7036</v>
      </c>
      <c r="K34" s="222" t="n">
        <v>1</v>
      </c>
      <c r="L34" s="222" t="s">
        <v>6461</v>
      </c>
      <c r="M34" s="6" t="s">
        <v>7037</v>
      </c>
      <c r="N34" s="222" t="s">
        <v>7038</v>
      </c>
      <c r="O34" s="28" t="s">
        <v>6464</v>
      </c>
      <c r="P34" s="28" t="s">
        <v>608</v>
      </c>
      <c r="Q34" s="28" t="s">
        <v>7039</v>
      </c>
      <c r="R34" s="28" t="s">
        <v>608</v>
      </c>
      <c r="S34" s="28" t="s">
        <v>608</v>
      </c>
      <c r="T34" s="28" t="s">
        <v>608</v>
      </c>
      <c r="U34" s="28" t="s">
        <v>7040</v>
      </c>
      <c r="V34" s="6" t="s">
        <v>7043</v>
      </c>
      <c r="W34" s="6" t="s">
        <v>608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4863</v>
      </c>
      <c r="B35" s="6" t="s">
        <v>7044</v>
      </c>
      <c r="C35" s="224" t="n">
        <v>4096</v>
      </c>
      <c r="D35" s="222"/>
      <c r="E35" s="222"/>
      <c r="F35" s="28" t="s">
        <v>279</v>
      </c>
      <c r="G35" s="28" t="s">
        <v>7045</v>
      </c>
      <c r="H35" s="28" t="s">
        <v>6969</v>
      </c>
      <c r="I35" s="28" t="s">
        <v>6485</v>
      </c>
      <c r="J35" s="6" t="s">
        <v>7036</v>
      </c>
      <c r="K35" s="222" t="n">
        <v>1</v>
      </c>
      <c r="L35" s="222" t="s">
        <v>6461</v>
      </c>
      <c r="M35" s="6" t="s">
        <v>7037</v>
      </c>
      <c r="N35" s="222" t="s">
        <v>7038</v>
      </c>
      <c r="O35" s="28" t="s">
        <v>6464</v>
      </c>
      <c r="P35" s="28" t="s">
        <v>608</v>
      </c>
      <c r="Q35" s="28" t="s">
        <v>7039</v>
      </c>
      <c r="R35" s="28" t="s">
        <v>608</v>
      </c>
      <c r="S35" s="28" t="s">
        <v>608</v>
      </c>
      <c r="T35" s="28" t="s">
        <v>608</v>
      </c>
      <c r="U35" s="28" t="s">
        <v>7040</v>
      </c>
      <c r="V35" s="6" t="s">
        <v>7046</v>
      </c>
      <c r="W35" s="6" t="s">
        <v>608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7047</v>
      </c>
      <c r="B36" s="6" t="s">
        <v>7048</v>
      </c>
      <c r="C36" s="224" t="n">
        <v>16384</v>
      </c>
      <c r="D36" s="222"/>
      <c r="E36" s="222"/>
      <c r="F36" s="28" t="s">
        <v>279</v>
      </c>
      <c r="G36" s="222" t="s">
        <v>7049</v>
      </c>
      <c r="H36" s="28" t="s">
        <v>6969</v>
      </c>
      <c r="I36" s="28" t="s">
        <v>6485</v>
      </c>
      <c r="J36" s="6" t="s">
        <v>7036</v>
      </c>
      <c r="K36" s="222" t="n">
        <v>1</v>
      </c>
      <c r="L36" s="222" t="s">
        <v>6461</v>
      </c>
      <c r="M36" s="6" t="s">
        <v>7037</v>
      </c>
      <c r="N36" s="222" t="s">
        <v>7038</v>
      </c>
      <c r="O36" s="28" t="s">
        <v>6464</v>
      </c>
      <c r="P36" s="28" t="s">
        <v>608</v>
      </c>
      <c r="Q36" s="28" t="s">
        <v>7039</v>
      </c>
      <c r="R36" s="28" t="s">
        <v>608</v>
      </c>
      <c r="S36" s="28" t="s">
        <v>608</v>
      </c>
      <c r="T36" s="28" t="s">
        <v>608</v>
      </c>
      <c r="U36" s="28" t="s">
        <v>7040</v>
      </c>
      <c r="V36" s="6" t="s">
        <v>608</v>
      </c>
      <c r="W36" s="6" t="s">
        <v>608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5312</v>
      </c>
      <c r="B37" s="6" t="s">
        <v>7050</v>
      </c>
      <c r="C37" s="224" t="n">
        <v>4.6E+026</v>
      </c>
      <c r="D37" s="222"/>
      <c r="E37" s="222"/>
      <c r="F37" s="28" t="s">
        <v>301</v>
      </c>
      <c r="G37" s="222" t="s">
        <v>7051</v>
      </c>
      <c r="H37" s="28" t="s">
        <v>7052</v>
      </c>
      <c r="I37" s="28" t="s">
        <v>7053</v>
      </c>
      <c r="J37" s="6" t="s">
        <v>7054</v>
      </c>
      <c r="K37" s="222" t="n">
        <v>1</v>
      </c>
      <c r="L37" s="222" t="s">
        <v>6568</v>
      </c>
      <c r="M37" s="6" t="s">
        <v>7055</v>
      </c>
      <c r="N37" s="222" t="s">
        <v>7056</v>
      </c>
      <c r="O37" s="28" t="s">
        <v>6464</v>
      </c>
      <c r="P37" s="28" t="s">
        <v>608</v>
      </c>
      <c r="Q37" s="28" t="s">
        <v>7057</v>
      </c>
      <c r="R37" s="28" t="s">
        <v>608</v>
      </c>
      <c r="S37" s="28" t="s">
        <v>608</v>
      </c>
      <c r="T37" s="28" t="s">
        <v>608</v>
      </c>
      <c r="U37" s="28" t="s">
        <v>7058</v>
      </c>
      <c r="V37" s="6" t="s">
        <v>7059</v>
      </c>
      <c r="W37" s="19" t="s">
        <v>7060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2864</v>
      </c>
      <c r="B38" s="6" t="s">
        <v>7061</v>
      </c>
      <c r="C38" s="224" t="n">
        <v>0.147</v>
      </c>
      <c r="D38" s="222"/>
      <c r="E38" s="222"/>
      <c r="F38" s="28" t="s">
        <v>7062</v>
      </c>
      <c r="G38" s="28" t="s">
        <v>7063</v>
      </c>
      <c r="H38" s="28" t="s">
        <v>7064</v>
      </c>
      <c r="I38" s="28" t="s">
        <v>7065</v>
      </c>
      <c r="J38" s="6" t="s">
        <v>7066</v>
      </c>
      <c r="K38" s="222" t="n">
        <v>2</v>
      </c>
      <c r="L38" s="222" t="s">
        <v>6461</v>
      </c>
      <c r="M38" s="6" t="s">
        <v>7067</v>
      </c>
      <c r="N38" s="222" t="s">
        <v>6474</v>
      </c>
      <c r="O38" s="28" t="s">
        <v>6464</v>
      </c>
      <c r="P38" s="28" t="s">
        <v>608</v>
      </c>
      <c r="Q38" s="28" t="s">
        <v>7068</v>
      </c>
      <c r="R38" s="28" t="s">
        <v>608</v>
      </c>
      <c r="S38" s="28" t="s">
        <v>608</v>
      </c>
      <c r="T38" s="28" t="s">
        <v>608</v>
      </c>
      <c r="U38" s="28" t="s">
        <v>7069</v>
      </c>
      <c r="V38" s="6" t="s">
        <v>7070</v>
      </c>
      <c r="W38" s="6" t="s">
        <v>7071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7072</v>
      </c>
      <c r="B39" s="6" t="s">
        <v>7073</v>
      </c>
      <c r="C39" s="224" t="n">
        <v>0.14</v>
      </c>
      <c r="D39" s="222"/>
      <c r="E39" s="222"/>
      <c r="F39" s="28" t="s">
        <v>7074</v>
      </c>
      <c r="G39" s="222" t="s">
        <v>7075</v>
      </c>
      <c r="H39" s="28" t="s">
        <v>7076</v>
      </c>
      <c r="I39" s="28" t="s">
        <v>7077</v>
      </c>
      <c r="J39" s="6" t="s">
        <v>7078</v>
      </c>
      <c r="K39" s="222" t="n">
        <v>2</v>
      </c>
      <c r="L39" s="222" t="s">
        <v>6461</v>
      </c>
      <c r="M39" s="6" t="s">
        <v>7079</v>
      </c>
      <c r="N39" s="222" t="s">
        <v>6474</v>
      </c>
      <c r="O39" s="28" t="s">
        <v>6464</v>
      </c>
      <c r="P39" s="28" t="s">
        <v>608</v>
      </c>
      <c r="Q39" s="28" t="s">
        <v>7080</v>
      </c>
      <c r="R39" s="28" t="s">
        <v>608</v>
      </c>
      <c r="S39" s="28" t="s">
        <v>608</v>
      </c>
      <c r="T39" s="28" t="s">
        <v>608</v>
      </c>
      <c r="U39" s="28" t="s">
        <v>7081</v>
      </c>
      <c r="V39" s="6" t="s">
        <v>608</v>
      </c>
      <c r="W39" s="6" t="s">
        <v>608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2870</v>
      </c>
      <c r="B40" s="6" t="s">
        <v>7082</v>
      </c>
      <c r="C40" s="224" t="n">
        <v>1</v>
      </c>
      <c r="D40" s="222"/>
      <c r="E40" s="222"/>
      <c r="F40" s="28" t="s">
        <v>97</v>
      </c>
      <c r="G40" s="222" t="s">
        <v>7083</v>
      </c>
      <c r="H40" s="28" t="s">
        <v>7084</v>
      </c>
      <c r="I40" s="28" t="s">
        <v>7085</v>
      </c>
      <c r="J40" s="6" t="s">
        <v>7086</v>
      </c>
      <c r="K40" s="222" t="n">
        <v>1</v>
      </c>
      <c r="L40" s="222" t="s">
        <v>6461</v>
      </c>
      <c r="M40" s="6" t="s">
        <v>7087</v>
      </c>
      <c r="N40" s="222" t="s">
        <v>7038</v>
      </c>
      <c r="O40" s="28" t="s">
        <v>6464</v>
      </c>
      <c r="P40" s="28" t="s">
        <v>608</v>
      </c>
      <c r="Q40" s="28" t="s">
        <v>7088</v>
      </c>
      <c r="R40" s="28" t="s">
        <v>608</v>
      </c>
      <c r="S40" s="28" t="s">
        <v>608</v>
      </c>
      <c r="T40" s="28" t="s">
        <v>608</v>
      </c>
      <c r="U40" s="28" t="s">
        <v>7089</v>
      </c>
      <c r="V40" s="6" t="s">
        <v>7090</v>
      </c>
      <c r="W40" s="19" t="s">
        <v>7091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7092</v>
      </c>
      <c r="B41" s="6" t="s">
        <v>7093</v>
      </c>
      <c r="C41" s="224" t="n">
        <v>200000</v>
      </c>
      <c r="D41" s="222"/>
      <c r="E41" s="222"/>
      <c r="F41" s="28" t="s">
        <v>719</v>
      </c>
      <c r="G41" s="28" t="s">
        <v>608</v>
      </c>
      <c r="H41" s="28" t="s">
        <v>7084</v>
      </c>
      <c r="I41" s="28" t="s">
        <v>7085</v>
      </c>
      <c r="J41" s="6" t="s">
        <v>7086</v>
      </c>
      <c r="K41" s="222" t="n">
        <v>1</v>
      </c>
      <c r="L41" s="222" t="s">
        <v>6461</v>
      </c>
      <c r="M41" s="6" t="s">
        <v>7087</v>
      </c>
      <c r="N41" s="222" t="s">
        <v>7038</v>
      </c>
      <c r="O41" s="28" t="s">
        <v>6464</v>
      </c>
      <c r="P41" s="28" t="s">
        <v>608</v>
      </c>
      <c r="Q41" s="28" t="s">
        <v>7088</v>
      </c>
      <c r="R41" s="28" t="s">
        <v>608</v>
      </c>
      <c r="S41" s="28" t="s">
        <v>608</v>
      </c>
      <c r="T41" s="28" t="s">
        <v>608</v>
      </c>
      <c r="U41" s="28" t="s">
        <v>7089</v>
      </c>
      <c r="V41" s="6" t="s">
        <v>608</v>
      </c>
      <c r="W41" s="6" t="s">
        <v>608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7094</v>
      </c>
      <c r="B42" s="6" t="s">
        <v>7095</v>
      </c>
      <c r="C42" s="224" t="n">
        <v>10</v>
      </c>
      <c r="D42" s="222"/>
      <c r="E42" s="222"/>
      <c r="F42" s="28" t="s">
        <v>97</v>
      </c>
      <c r="G42" s="222" t="s">
        <v>7096</v>
      </c>
      <c r="H42" s="28" t="s">
        <v>7084</v>
      </c>
      <c r="I42" s="28" t="s">
        <v>7085</v>
      </c>
      <c r="J42" s="6" t="s">
        <v>7086</v>
      </c>
      <c r="K42" s="222" t="n">
        <v>1</v>
      </c>
      <c r="L42" s="222" t="s">
        <v>6461</v>
      </c>
      <c r="M42" s="6" t="s">
        <v>7087</v>
      </c>
      <c r="N42" s="222" t="s">
        <v>7038</v>
      </c>
      <c r="O42" s="28" t="s">
        <v>6464</v>
      </c>
      <c r="P42" s="28" t="s">
        <v>608</v>
      </c>
      <c r="Q42" s="28" t="s">
        <v>7088</v>
      </c>
      <c r="R42" s="28" t="s">
        <v>608</v>
      </c>
      <c r="S42" s="28" t="s">
        <v>608</v>
      </c>
      <c r="T42" s="28" t="s">
        <v>608</v>
      </c>
      <c r="U42" s="28" t="s">
        <v>7089</v>
      </c>
      <c r="V42" s="6" t="s">
        <v>608</v>
      </c>
      <c r="W42" s="6" t="s">
        <v>608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4866</v>
      </c>
      <c r="B43" s="6" t="s">
        <v>7097</v>
      </c>
      <c r="C43" s="224" t="n">
        <v>14.8</v>
      </c>
      <c r="D43" s="222"/>
      <c r="E43" s="222"/>
      <c r="F43" s="28" t="s">
        <v>942</v>
      </c>
      <c r="G43" s="28" t="s">
        <v>608</v>
      </c>
      <c r="H43" s="28" t="s">
        <v>7098</v>
      </c>
      <c r="I43" s="28" t="s">
        <v>7099</v>
      </c>
      <c r="J43" s="6" t="s">
        <v>7100</v>
      </c>
      <c r="K43" s="222" t="n">
        <v>3</v>
      </c>
      <c r="L43" s="222" t="s">
        <v>6461</v>
      </c>
      <c r="M43" s="6" t="s">
        <v>7101</v>
      </c>
      <c r="N43" s="222" t="s">
        <v>6599</v>
      </c>
      <c r="O43" s="28" t="s">
        <v>6464</v>
      </c>
      <c r="P43" s="28" t="s">
        <v>608</v>
      </c>
      <c r="Q43" s="28" t="s">
        <v>7102</v>
      </c>
      <c r="R43" s="28" t="s">
        <v>608</v>
      </c>
      <c r="S43" s="28" t="s">
        <v>608</v>
      </c>
      <c r="T43" s="28" t="s">
        <v>608</v>
      </c>
      <c r="U43" s="28" t="s">
        <v>973</v>
      </c>
      <c r="V43" s="6" t="s">
        <v>7103</v>
      </c>
      <c r="W43" s="6" t="s">
        <v>608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4869</v>
      </c>
      <c r="B44" s="6" t="s">
        <v>7104</v>
      </c>
      <c r="C44" s="224" t="n">
        <v>2.664</v>
      </c>
      <c r="D44" s="222"/>
      <c r="E44" s="222"/>
      <c r="F44" s="28" t="s">
        <v>7105</v>
      </c>
      <c r="G44" s="222" t="s">
        <v>7106</v>
      </c>
      <c r="H44" s="28" t="s">
        <v>7098</v>
      </c>
      <c r="I44" s="28" t="s">
        <v>7099</v>
      </c>
      <c r="J44" s="6" t="s">
        <v>7100</v>
      </c>
      <c r="K44" s="222" t="n">
        <v>3</v>
      </c>
      <c r="L44" s="222" t="s">
        <v>6461</v>
      </c>
      <c r="M44" s="6" t="s">
        <v>7101</v>
      </c>
      <c r="N44" s="222" t="s">
        <v>6599</v>
      </c>
      <c r="O44" s="28" t="s">
        <v>6464</v>
      </c>
      <c r="P44" s="28" t="s">
        <v>608</v>
      </c>
      <c r="Q44" s="28" t="s">
        <v>7102</v>
      </c>
      <c r="R44" s="28" t="s">
        <v>608</v>
      </c>
      <c r="S44" s="28" t="s">
        <v>608</v>
      </c>
      <c r="T44" s="28" t="s">
        <v>608</v>
      </c>
      <c r="U44" s="28" t="s">
        <v>973</v>
      </c>
      <c r="V44" s="6" t="s">
        <v>7107</v>
      </c>
      <c r="W44" s="6" t="s">
        <v>608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7108</v>
      </c>
      <c r="B45" s="6" t="s">
        <v>7109</v>
      </c>
      <c r="C45" s="224" t="n">
        <v>2.788</v>
      </c>
      <c r="D45" s="222"/>
      <c r="E45" s="222"/>
      <c r="F45" s="28" t="s">
        <v>7105</v>
      </c>
      <c r="G45" s="222" t="s">
        <v>7110</v>
      </c>
      <c r="H45" s="28" t="s">
        <v>7098</v>
      </c>
      <c r="I45" s="28" t="s">
        <v>7099</v>
      </c>
      <c r="J45" s="6" t="s">
        <v>7100</v>
      </c>
      <c r="K45" s="222" t="n">
        <v>3</v>
      </c>
      <c r="L45" s="222" t="s">
        <v>6461</v>
      </c>
      <c r="M45" s="6" t="s">
        <v>7101</v>
      </c>
      <c r="N45" s="222" t="s">
        <v>6599</v>
      </c>
      <c r="O45" s="28" t="s">
        <v>6464</v>
      </c>
      <c r="P45" s="28" t="s">
        <v>608</v>
      </c>
      <c r="Q45" s="28" t="s">
        <v>7102</v>
      </c>
      <c r="R45" s="28" t="s">
        <v>608</v>
      </c>
      <c r="S45" s="28" t="s">
        <v>608</v>
      </c>
      <c r="T45" s="28" t="s">
        <v>608</v>
      </c>
      <c r="U45" s="28" t="s">
        <v>973</v>
      </c>
      <c r="V45" s="6" t="s">
        <v>608</v>
      </c>
      <c r="W45" s="6" t="s">
        <v>608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4872</v>
      </c>
      <c r="B46" s="6" t="s">
        <v>7111</v>
      </c>
      <c r="C46" s="224" t="n">
        <v>4096</v>
      </c>
      <c r="D46" s="222"/>
      <c r="E46" s="222"/>
      <c r="F46" s="28" t="s">
        <v>279</v>
      </c>
      <c r="G46" s="28" t="s">
        <v>608</v>
      </c>
      <c r="H46" s="28" t="s">
        <v>7098</v>
      </c>
      <c r="I46" s="28" t="s">
        <v>7099</v>
      </c>
      <c r="J46" s="6" t="s">
        <v>7100</v>
      </c>
      <c r="K46" s="222" t="n">
        <v>3</v>
      </c>
      <c r="L46" s="222" t="s">
        <v>6461</v>
      </c>
      <c r="M46" s="6" t="s">
        <v>7101</v>
      </c>
      <c r="N46" s="222" t="s">
        <v>6599</v>
      </c>
      <c r="O46" s="28" t="s">
        <v>6464</v>
      </c>
      <c r="P46" s="28" t="s">
        <v>608</v>
      </c>
      <c r="Q46" s="28" t="s">
        <v>7102</v>
      </c>
      <c r="R46" s="28" t="s">
        <v>608</v>
      </c>
      <c r="S46" s="28" t="s">
        <v>608</v>
      </c>
      <c r="T46" s="28" t="s">
        <v>608</v>
      </c>
      <c r="U46" s="28" t="s">
        <v>973</v>
      </c>
      <c r="V46" s="6" t="s">
        <v>7112</v>
      </c>
      <c r="W46" s="6" t="s">
        <v>608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4877</v>
      </c>
      <c r="B47" s="19" t="s">
        <v>7113</v>
      </c>
      <c r="C47" s="224" t="n">
        <v>1</v>
      </c>
      <c r="D47" s="222"/>
      <c r="E47" s="222"/>
      <c r="F47" s="28" t="s">
        <v>7114</v>
      </c>
      <c r="G47" s="222" t="s">
        <v>7115</v>
      </c>
      <c r="H47" s="28" t="s">
        <v>1221</v>
      </c>
      <c r="I47" s="28" t="s">
        <v>1211</v>
      </c>
      <c r="J47" s="6" t="s">
        <v>7116</v>
      </c>
      <c r="K47" s="222" t="n">
        <v>1</v>
      </c>
      <c r="L47" s="222" t="s">
        <v>6461</v>
      </c>
      <c r="M47" s="6" t="s">
        <v>7037</v>
      </c>
      <c r="N47" s="222" t="s">
        <v>7038</v>
      </c>
      <c r="O47" s="28" t="s">
        <v>6464</v>
      </c>
      <c r="P47" s="28" t="s">
        <v>608</v>
      </c>
      <c r="Q47" s="28" t="s">
        <v>7117</v>
      </c>
      <c r="R47" s="28" t="s">
        <v>608</v>
      </c>
      <c r="S47" s="28" t="s">
        <v>608</v>
      </c>
      <c r="T47" s="28" t="s">
        <v>608</v>
      </c>
      <c r="U47" s="28" t="s">
        <v>7118</v>
      </c>
      <c r="V47" s="6" t="s">
        <v>7119</v>
      </c>
      <c r="W47" s="6" t="s">
        <v>7120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7121</v>
      </c>
      <c r="B48" s="19" t="s">
        <v>7122</v>
      </c>
      <c r="C48" s="224" t="n">
        <v>1</v>
      </c>
      <c r="D48" s="222"/>
      <c r="E48" s="222"/>
      <c r="F48" s="28" t="s">
        <v>7114</v>
      </c>
      <c r="G48" s="222" t="s">
        <v>7115</v>
      </c>
      <c r="H48" s="28" t="s">
        <v>7123</v>
      </c>
      <c r="I48" s="28" t="s">
        <v>7124</v>
      </c>
      <c r="J48" s="6" t="s">
        <v>7125</v>
      </c>
      <c r="K48" s="222" t="n">
        <v>1</v>
      </c>
      <c r="L48" s="222" t="s">
        <v>6461</v>
      </c>
      <c r="M48" s="6" t="s">
        <v>7126</v>
      </c>
      <c r="N48" s="222" t="s">
        <v>7038</v>
      </c>
      <c r="O48" s="28" t="s">
        <v>6464</v>
      </c>
      <c r="P48" s="28" t="s">
        <v>608</v>
      </c>
      <c r="Q48" s="28" t="s">
        <v>7127</v>
      </c>
      <c r="R48" s="28" t="s">
        <v>608</v>
      </c>
      <c r="S48" s="28" t="s">
        <v>608</v>
      </c>
      <c r="T48" s="28" t="s">
        <v>608</v>
      </c>
      <c r="U48" s="28" t="s">
        <v>7128</v>
      </c>
      <c r="V48" s="6" t="s">
        <v>7119</v>
      </c>
      <c r="W48" s="6" t="s">
        <v>608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7129</v>
      </c>
      <c r="B49" s="19" t="s">
        <v>7130</v>
      </c>
      <c r="C49" s="224" t="n">
        <v>1</v>
      </c>
      <c r="D49" s="222"/>
      <c r="E49" s="222"/>
      <c r="F49" s="28" t="s">
        <v>7114</v>
      </c>
      <c r="G49" s="222" t="s">
        <v>7115</v>
      </c>
      <c r="H49" s="28" t="s">
        <v>1238</v>
      </c>
      <c r="I49" s="28" t="s">
        <v>7065</v>
      </c>
      <c r="J49" s="6" t="s">
        <v>7131</v>
      </c>
      <c r="K49" s="222" t="n">
        <v>2</v>
      </c>
      <c r="L49" s="222" t="s">
        <v>6461</v>
      </c>
      <c r="M49" s="6" t="s">
        <v>7131</v>
      </c>
      <c r="N49" s="222" t="s">
        <v>6474</v>
      </c>
      <c r="O49" s="28" t="s">
        <v>6464</v>
      </c>
      <c r="P49" s="28" t="s">
        <v>608</v>
      </c>
      <c r="Q49" s="28" t="s">
        <v>7132</v>
      </c>
      <c r="R49" s="28" t="s">
        <v>608</v>
      </c>
      <c r="S49" s="28" t="s">
        <v>608</v>
      </c>
      <c r="T49" s="28" t="s">
        <v>608</v>
      </c>
      <c r="U49" s="28" t="s">
        <v>7133</v>
      </c>
      <c r="V49" s="6" t="s">
        <v>7119</v>
      </c>
      <c r="W49" s="6" t="s">
        <v>608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5182</v>
      </c>
      <c r="B50" s="6" t="s">
        <v>7134</v>
      </c>
      <c r="C50" s="224" t="n">
        <v>1.5</v>
      </c>
      <c r="D50" s="222"/>
      <c r="E50" s="222"/>
      <c r="F50" s="28" t="s">
        <v>97</v>
      </c>
      <c r="G50" s="222" t="s">
        <v>7135</v>
      </c>
      <c r="H50" s="28" t="s">
        <v>1238</v>
      </c>
      <c r="I50" s="28" t="s">
        <v>7065</v>
      </c>
      <c r="J50" s="6" t="s">
        <v>7131</v>
      </c>
      <c r="K50" s="222" t="n">
        <v>2</v>
      </c>
      <c r="L50" s="222" t="s">
        <v>6461</v>
      </c>
      <c r="M50" s="6" t="s">
        <v>7131</v>
      </c>
      <c r="N50" s="222" t="s">
        <v>6474</v>
      </c>
      <c r="O50" s="28" t="s">
        <v>6464</v>
      </c>
      <c r="P50" s="28" t="s">
        <v>608</v>
      </c>
      <c r="Q50" s="28" t="s">
        <v>7132</v>
      </c>
      <c r="R50" s="28" t="s">
        <v>608</v>
      </c>
      <c r="S50" s="28" t="s">
        <v>608</v>
      </c>
      <c r="T50" s="28" t="s">
        <v>608</v>
      </c>
      <c r="U50" s="28" t="s">
        <v>7133</v>
      </c>
      <c r="V50" s="6" t="s">
        <v>608</v>
      </c>
      <c r="W50" s="6" t="s">
        <v>608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7136</v>
      </c>
      <c r="B51" s="19" t="s">
        <v>7137</v>
      </c>
      <c r="C51" s="224" t="n">
        <v>1</v>
      </c>
      <c r="D51" s="222"/>
      <c r="E51" s="222"/>
      <c r="F51" s="28" t="s">
        <v>7114</v>
      </c>
      <c r="G51" s="222" t="s">
        <v>7115</v>
      </c>
      <c r="H51" s="28" t="s">
        <v>7138</v>
      </c>
      <c r="I51" s="28" t="s">
        <v>7085</v>
      </c>
      <c r="J51" s="6" t="s">
        <v>7139</v>
      </c>
      <c r="K51" s="222" t="n">
        <v>1</v>
      </c>
      <c r="L51" s="222" t="s">
        <v>6461</v>
      </c>
      <c r="M51" s="6" t="s">
        <v>7140</v>
      </c>
      <c r="N51" s="222" t="s">
        <v>7038</v>
      </c>
      <c r="O51" s="28" t="s">
        <v>6464</v>
      </c>
      <c r="P51" s="28" t="s">
        <v>608</v>
      </c>
      <c r="Q51" s="28" t="s">
        <v>7141</v>
      </c>
      <c r="R51" s="28" t="s">
        <v>608</v>
      </c>
      <c r="S51" s="28" t="s">
        <v>608</v>
      </c>
      <c r="T51" s="28" t="s">
        <v>608</v>
      </c>
      <c r="U51" s="28" t="s">
        <v>7142</v>
      </c>
      <c r="V51" s="6" t="s">
        <v>7119</v>
      </c>
      <c r="W51" s="6" t="s">
        <v>608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7143</v>
      </c>
      <c r="B52" s="6" t="s">
        <v>7144</v>
      </c>
      <c r="C52" s="224" t="n">
        <v>10.7</v>
      </c>
      <c r="D52" s="222"/>
      <c r="E52" s="222"/>
      <c r="F52" s="28" t="s">
        <v>97</v>
      </c>
      <c r="G52" s="222" t="s">
        <v>7145</v>
      </c>
      <c r="H52" s="28" t="s">
        <v>7138</v>
      </c>
      <c r="I52" s="28" t="s">
        <v>7085</v>
      </c>
      <c r="J52" s="6" t="s">
        <v>7139</v>
      </c>
      <c r="K52" s="222" t="n">
        <v>1</v>
      </c>
      <c r="L52" s="222" t="s">
        <v>6461</v>
      </c>
      <c r="M52" s="6" t="s">
        <v>7140</v>
      </c>
      <c r="N52" s="222" t="s">
        <v>7038</v>
      </c>
      <c r="O52" s="28" t="s">
        <v>6464</v>
      </c>
      <c r="P52" s="28" t="s">
        <v>608</v>
      </c>
      <c r="Q52" s="28" t="s">
        <v>7141</v>
      </c>
      <c r="R52" s="28" t="s">
        <v>608</v>
      </c>
      <c r="S52" s="28" t="s">
        <v>608</v>
      </c>
      <c r="T52" s="28" t="s">
        <v>608</v>
      </c>
      <c r="U52" s="28" t="s">
        <v>7142</v>
      </c>
      <c r="V52" s="6" t="s">
        <v>608</v>
      </c>
      <c r="W52" s="6" t="s">
        <v>608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4732</v>
      </c>
      <c r="B53" s="6" t="s">
        <v>7146</v>
      </c>
      <c r="C53" s="224" t="n">
        <v>128</v>
      </c>
      <c r="D53" s="222"/>
      <c r="E53" s="222"/>
      <c r="F53" s="222" t="s">
        <v>316</v>
      </c>
      <c r="G53" s="28" t="s">
        <v>7147</v>
      </c>
      <c r="H53" s="28" t="s">
        <v>7015</v>
      </c>
      <c r="I53" s="28" t="s">
        <v>608</v>
      </c>
      <c r="J53" s="6" t="s">
        <v>6750</v>
      </c>
      <c r="K53" s="222" t="n">
        <v>3</v>
      </c>
      <c r="L53" s="222" t="s">
        <v>6461</v>
      </c>
      <c r="M53" s="6" t="s">
        <v>7148</v>
      </c>
      <c r="N53" s="222" t="s">
        <v>6599</v>
      </c>
      <c r="O53" s="28" t="s">
        <v>6464</v>
      </c>
      <c r="P53" s="28" t="s">
        <v>608</v>
      </c>
      <c r="Q53" s="28" t="s">
        <v>6759</v>
      </c>
      <c r="R53" s="28" t="s">
        <v>608</v>
      </c>
      <c r="S53" s="28" t="s">
        <v>608</v>
      </c>
      <c r="T53" s="28" t="s">
        <v>608</v>
      </c>
      <c r="U53" s="28" t="s">
        <v>6752</v>
      </c>
      <c r="V53" s="6" t="s">
        <v>608</v>
      </c>
      <c r="W53" s="6" t="s">
        <v>6763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7149</v>
      </c>
      <c r="B54" s="6" t="s">
        <v>7150</v>
      </c>
      <c r="C54" s="224" t="n">
        <v>192</v>
      </c>
      <c r="D54" s="222"/>
      <c r="E54" s="222"/>
      <c r="F54" s="222" t="s">
        <v>6945</v>
      </c>
      <c r="G54" s="28" t="s">
        <v>7147</v>
      </c>
      <c r="H54" s="28" t="s">
        <v>7015</v>
      </c>
      <c r="I54" s="28" t="s">
        <v>608</v>
      </c>
      <c r="J54" s="6" t="s">
        <v>6750</v>
      </c>
      <c r="K54" s="222" t="n">
        <v>3</v>
      </c>
      <c r="L54" s="222" t="s">
        <v>6461</v>
      </c>
      <c r="M54" s="6" t="s">
        <v>7148</v>
      </c>
      <c r="N54" s="222" t="s">
        <v>6599</v>
      </c>
      <c r="O54" s="28" t="s">
        <v>6464</v>
      </c>
      <c r="P54" s="28" t="s">
        <v>608</v>
      </c>
      <c r="Q54" s="28" t="s">
        <v>6759</v>
      </c>
      <c r="R54" s="28" t="s">
        <v>608</v>
      </c>
      <c r="S54" s="28" t="s">
        <v>608</v>
      </c>
      <c r="T54" s="28" t="s">
        <v>608</v>
      </c>
      <c r="U54" s="28" t="s">
        <v>6752</v>
      </c>
      <c r="V54" s="6" t="s">
        <v>608</v>
      </c>
      <c r="W54" s="6" t="s">
        <v>6763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7151</v>
      </c>
      <c r="B55" s="6" t="s">
        <v>7152</v>
      </c>
      <c r="C55" s="224" t="n">
        <v>128</v>
      </c>
      <c r="D55" s="222"/>
      <c r="E55" s="222"/>
      <c r="F55" s="222" t="s">
        <v>6945</v>
      </c>
      <c r="G55" s="28" t="s">
        <v>7147</v>
      </c>
      <c r="H55" s="28" t="s">
        <v>7015</v>
      </c>
      <c r="I55" s="28" t="s">
        <v>608</v>
      </c>
      <c r="J55" s="6" t="s">
        <v>6750</v>
      </c>
      <c r="K55" s="222" t="n">
        <v>3</v>
      </c>
      <c r="L55" s="222" t="s">
        <v>6461</v>
      </c>
      <c r="M55" s="6" t="s">
        <v>7148</v>
      </c>
      <c r="N55" s="222" t="s">
        <v>6599</v>
      </c>
      <c r="O55" s="28" t="s">
        <v>6464</v>
      </c>
      <c r="P55" s="28" t="s">
        <v>608</v>
      </c>
      <c r="Q55" s="28" t="s">
        <v>6759</v>
      </c>
      <c r="R55" s="28" t="s">
        <v>608</v>
      </c>
      <c r="S55" s="28" t="s">
        <v>608</v>
      </c>
      <c r="T55" s="28" t="s">
        <v>608</v>
      </c>
      <c r="U55" s="28" t="s">
        <v>6752</v>
      </c>
      <c r="V55" s="6" t="s">
        <v>608</v>
      </c>
      <c r="W55" s="6" t="s">
        <v>6763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4371</v>
      </c>
      <c r="B56" s="6" t="s">
        <v>7153</v>
      </c>
      <c r="C56" s="224" t="n">
        <v>4096</v>
      </c>
      <c r="D56" s="222"/>
      <c r="E56" s="222"/>
      <c r="F56" s="222" t="s">
        <v>6945</v>
      </c>
      <c r="G56" s="28" t="s">
        <v>7154</v>
      </c>
      <c r="H56" s="28" t="s">
        <v>6955</v>
      </c>
      <c r="I56" s="28" t="s">
        <v>6471</v>
      </c>
      <c r="J56" s="6" t="s">
        <v>7155</v>
      </c>
      <c r="K56" s="222" t="n">
        <v>1</v>
      </c>
      <c r="L56" s="222" t="s">
        <v>6461</v>
      </c>
      <c r="M56" s="6" t="s">
        <v>7156</v>
      </c>
      <c r="N56" s="222" t="s">
        <v>7038</v>
      </c>
      <c r="O56" s="28" t="s">
        <v>6464</v>
      </c>
      <c r="P56" s="28" t="s">
        <v>608</v>
      </c>
      <c r="Q56" s="28" t="s">
        <v>7157</v>
      </c>
      <c r="R56" s="28" t="s">
        <v>608</v>
      </c>
      <c r="S56" s="28" t="s">
        <v>608</v>
      </c>
      <c r="T56" s="28" t="s">
        <v>608</v>
      </c>
      <c r="U56" s="28" t="s">
        <v>7158</v>
      </c>
      <c r="V56" s="6" t="s">
        <v>7159</v>
      </c>
      <c r="W56" s="19" t="s">
        <v>7160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4374</v>
      </c>
      <c r="B57" s="6" t="s">
        <v>7161</v>
      </c>
      <c r="C57" s="224" t="n">
        <v>64</v>
      </c>
      <c r="D57" s="222"/>
      <c r="E57" s="222"/>
      <c r="F57" s="222" t="s">
        <v>316</v>
      </c>
      <c r="G57" s="28" t="s">
        <v>7162</v>
      </c>
      <c r="H57" s="28" t="s">
        <v>6955</v>
      </c>
      <c r="I57" s="28" t="s">
        <v>6471</v>
      </c>
      <c r="J57" s="6" t="s">
        <v>7155</v>
      </c>
      <c r="K57" s="222" t="n">
        <v>1</v>
      </c>
      <c r="L57" s="222" t="s">
        <v>6461</v>
      </c>
      <c r="M57" s="6" t="s">
        <v>7156</v>
      </c>
      <c r="N57" s="222" t="s">
        <v>7038</v>
      </c>
      <c r="O57" s="28" t="s">
        <v>6464</v>
      </c>
      <c r="P57" s="28" t="s">
        <v>608</v>
      </c>
      <c r="Q57" s="28" t="s">
        <v>7157</v>
      </c>
      <c r="R57" s="28" t="s">
        <v>608</v>
      </c>
      <c r="S57" s="28" t="s">
        <v>608</v>
      </c>
      <c r="T57" s="28" t="s">
        <v>608</v>
      </c>
      <c r="U57" s="28" t="s">
        <v>7158</v>
      </c>
      <c r="V57" s="6" t="s">
        <v>7163</v>
      </c>
      <c r="W57" s="19" t="s">
        <v>7164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7165</v>
      </c>
      <c r="B58" s="6" t="s">
        <v>7166</v>
      </c>
      <c r="C58" s="224" t="n">
        <v>0.492</v>
      </c>
      <c r="D58" s="222"/>
      <c r="E58" s="222"/>
      <c r="F58" s="28" t="s">
        <v>93</v>
      </c>
      <c r="G58" s="28" t="s">
        <v>7167</v>
      </c>
      <c r="H58" s="28" t="s">
        <v>6963</v>
      </c>
      <c r="I58" s="28" t="s">
        <v>6471</v>
      </c>
      <c r="J58" s="6" t="s">
        <v>7168</v>
      </c>
      <c r="K58" s="222" t="n">
        <v>1</v>
      </c>
      <c r="L58" s="222" t="s">
        <v>6461</v>
      </c>
      <c r="M58" s="6" t="s">
        <v>7169</v>
      </c>
      <c r="N58" s="222" t="s">
        <v>6463</v>
      </c>
      <c r="O58" s="28" t="s">
        <v>6464</v>
      </c>
      <c r="P58" s="28" t="s">
        <v>608</v>
      </c>
      <c r="Q58" s="28" t="s">
        <v>7170</v>
      </c>
      <c r="R58" s="28" t="s">
        <v>608</v>
      </c>
      <c r="S58" s="28" t="s">
        <v>608</v>
      </c>
      <c r="T58" s="28" t="s">
        <v>608</v>
      </c>
      <c r="U58" s="28" t="s">
        <v>6780</v>
      </c>
      <c r="V58" s="6" t="s">
        <v>7171</v>
      </c>
      <c r="W58" s="6" t="s">
        <v>7172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2900</v>
      </c>
      <c r="B59" s="6" t="s">
        <v>7173</v>
      </c>
      <c r="C59" s="224" t="n">
        <v>1.0001E+027</v>
      </c>
      <c r="D59" s="224" t="n">
        <v>5E+026</v>
      </c>
      <c r="E59" s="224" t="n">
        <v>2E+027</v>
      </c>
      <c r="F59" s="28" t="s">
        <v>301</v>
      </c>
      <c r="G59" s="196" t="s">
        <v>7174</v>
      </c>
      <c r="H59" s="28" t="s">
        <v>1206</v>
      </c>
      <c r="I59" s="28" t="s">
        <v>7175</v>
      </c>
      <c r="J59" s="6" t="s">
        <v>7176</v>
      </c>
      <c r="K59" s="196" t="n">
        <v>1</v>
      </c>
      <c r="L59" s="196" t="s">
        <v>6568</v>
      </c>
      <c r="M59" s="6" t="s">
        <v>7177</v>
      </c>
      <c r="N59" s="196" t="s">
        <v>6463</v>
      </c>
      <c r="O59" s="28" t="s">
        <v>6464</v>
      </c>
      <c r="P59" s="28" t="s">
        <v>608</v>
      </c>
      <c r="Q59" s="28" t="s">
        <v>7178</v>
      </c>
      <c r="R59" s="28" t="s">
        <v>608</v>
      </c>
      <c r="S59" s="28" t="s">
        <v>608</v>
      </c>
      <c r="T59" s="28" t="s">
        <v>608</v>
      </c>
      <c r="U59" s="28" t="s">
        <v>7179</v>
      </c>
      <c r="V59" s="6" t="s">
        <v>7180</v>
      </c>
      <c r="W59" s="6" t="s">
        <v>7181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7182</v>
      </c>
      <c r="B60" s="6" t="s">
        <v>7183</v>
      </c>
      <c r="C60" s="224" t="n">
        <v>2800</v>
      </c>
      <c r="D60" s="196"/>
      <c r="E60" s="196"/>
      <c r="F60" s="28" t="s">
        <v>258</v>
      </c>
      <c r="G60" s="196" t="s">
        <v>7184</v>
      </c>
      <c r="H60" s="28" t="s">
        <v>7185</v>
      </c>
      <c r="I60" s="28" t="s">
        <v>6471</v>
      </c>
      <c r="J60" s="6" t="s">
        <v>7186</v>
      </c>
      <c r="K60" s="196" t="n">
        <v>1</v>
      </c>
      <c r="L60" s="196" t="s">
        <v>6461</v>
      </c>
      <c r="M60" s="6" t="s">
        <v>7187</v>
      </c>
      <c r="N60" s="196" t="s">
        <v>6463</v>
      </c>
      <c r="O60" s="28" t="s">
        <v>6464</v>
      </c>
      <c r="P60" s="28" t="s">
        <v>608</v>
      </c>
      <c r="Q60" s="28" t="s">
        <v>7188</v>
      </c>
      <c r="R60" s="28" t="s">
        <v>608</v>
      </c>
      <c r="S60" s="28" t="s">
        <v>608</v>
      </c>
      <c r="T60" s="28" t="s">
        <v>608</v>
      </c>
      <c r="U60" s="28" t="s">
        <v>7189</v>
      </c>
      <c r="V60" s="6" t="s">
        <v>608</v>
      </c>
      <c r="W60" s="6" t="s">
        <v>7190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7191</v>
      </c>
      <c r="B61" s="6" t="s">
        <v>7192</v>
      </c>
      <c r="C61" s="224" t="n">
        <v>104</v>
      </c>
      <c r="D61" s="196"/>
      <c r="E61" s="196"/>
      <c r="F61" s="28" t="s">
        <v>258</v>
      </c>
      <c r="G61" s="196" t="s">
        <v>7184</v>
      </c>
      <c r="H61" s="28" t="s">
        <v>7185</v>
      </c>
      <c r="I61" s="28" t="s">
        <v>6471</v>
      </c>
      <c r="J61" s="6" t="s">
        <v>7186</v>
      </c>
      <c r="K61" s="196" t="n">
        <v>1</v>
      </c>
      <c r="L61" s="196" t="s">
        <v>6461</v>
      </c>
      <c r="M61" s="6" t="s">
        <v>7187</v>
      </c>
      <c r="N61" s="196" t="s">
        <v>6463</v>
      </c>
      <c r="O61" s="28" t="s">
        <v>6464</v>
      </c>
      <c r="P61" s="28" t="s">
        <v>608</v>
      </c>
      <c r="Q61" s="28" t="s">
        <v>7188</v>
      </c>
      <c r="R61" s="28" t="s">
        <v>608</v>
      </c>
      <c r="S61" s="28" t="s">
        <v>608</v>
      </c>
      <c r="T61" s="28" t="s">
        <v>608</v>
      </c>
      <c r="U61" s="28" t="s">
        <v>7189</v>
      </c>
      <c r="V61" s="6" t="s">
        <v>608</v>
      </c>
      <c r="W61" s="6" t="s">
        <v>7193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7194</v>
      </c>
      <c r="B62" s="6" t="s">
        <v>7195</v>
      </c>
      <c r="C62" s="224" t="n">
        <v>93</v>
      </c>
      <c r="D62" s="196"/>
      <c r="E62" s="196"/>
      <c r="F62" s="196" t="s">
        <v>264</v>
      </c>
      <c r="G62" s="28" t="s">
        <v>7196</v>
      </c>
      <c r="H62" s="28" t="s">
        <v>7185</v>
      </c>
      <c r="I62" s="28" t="s">
        <v>6471</v>
      </c>
      <c r="J62" s="6" t="s">
        <v>7186</v>
      </c>
      <c r="K62" s="196" t="n">
        <v>1</v>
      </c>
      <c r="L62" s="196" t="s">
        <v>6461</v>
      </c>
      <c r="M62" s="6" t="s">
        <v>7187</v>
      </c>
      <c r="N62" s="196" t="s">
        <v>6463</v>
      </c>
      <c r="O62" s="28" t="s">
        <v>6464</v>
      </c>
      <c r="P62" s="28" t="s">
        <v>608</v>
      </c>
      <c r="Q62" s="28" t="s">
        <v>7188</v>
      </c>
      <c r="R62" s="28" t="s">
        <v>608</v>
      </c>
      <c r="S62" s="28" t="s">
        <v>608</v>
      </c>
      <c r="T62" s="28" t="s">
        <v>608</v>
      </c>
      <c r="U62" s="28" t="s">
        <v>7189</v>
      </c>
      <c r="V62" s="6" t="s">
        <v>608</v>
      </c>
      <c r="W62" s="6" t="s">
        <v>7197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7198</v>
      </c>
      <c r="B63" s="6" t="s">
        <v>7199</v>
      </c>
      <c r="C63" s="224" t="n">
        <v>7168</v>
      </c>
      <c r="D63" s="196"/>
      <c r="E63" s="196"/>
      <c r="F63" s="196" t="s">
        <v>6945</v>
      </c>
      <c r="G63" s="28" t="s">
        <v>7200</v>
      </c>
      <c r="H63" s="28" t="s">
        <v>7185</v>
      </c>
      <c r="I63" s="28" t="s">
        <v>6471</v>
      </c>
      <c r="J63" s="6" t="s">
        <v>7186</v>
      </c>
      <c r="K63" s="196" t="n">
        <v>1</v>
      </c>
      <c r="L63" s="196" t="s">
        <v>6461</v>
      </c>
      <c r="M63" s="6" t="s">
        <v>7187</v>
      </c>
      <c r="N63" s="196" t="s">
        <v>6463</v>
      </c>
      <c r="O63" s="28" t="s">
        <v>6464</v>
      </c>
      <c r="P63" s="28" t="s">
        <v>608</v>
      </c>
      <c r="Q63" s="28" t="s">
        <v>7188</v>
      </c>
      <c r="R63" s="28" t="s">
        <v>608</v>
      </c>
      <c r="S63" s="28" t="s">
        <v>608</v>
      </c>
      <c r="T63" s="28" t="s">
        <v>608</v>
      </c>
      <c r="U63" s="28" t="s">
        <v>7189</v>
      </c>
      <c r="V63" s="6" t="s">
        <v>608</v>
      </c>
      <c r="W63" s="6" t="s">
        <v>7201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7202</v>
      </c>
      <c r="B64" s="6" t="s">
        <v>7203</v>
      </c>
      <c r="C64" s="224" t="n">
        <v>896</v>
      </c>
      <c r="D64" s="196"/>
      <c r="E64" s="196"/>
      <c r="F64" s="196" t="s">
        <v>316</v>
      </c>
      <c r="G64" s="28" t="s">
        <v>7204</v>
      </c>
      <c r="H64" s="28" t="s">
        <v>7185</v>
      </c>
      <c r="I64" s="28" t="s">
        <v>6471</v>
      </c>
      <c r="J64" s="6" t="s">
        <v>7186</v>
      </c>
      <c r="K64" s="196" t="n">
        <v>1</v>
      </c>
      <c r="L64" s="196" t="s">
        <v>6461</v>
      </c>
      <c r="M64" s="6" t="s">
        <v>7187</v>
      </c>
      <c r="N64" s="196" t="s">
        <v>6463</v>
      </c>
      <c r="O64" s="28" t="s">
        <v>6464</v>
      </c>
      <c r="P64" s="28" t="s">
        <v>608</v>
      </c>
      <c r="Q64" s="28" t="s">
        <v>7188</v>
      </c>
      <c r="R64" s="28" t="s">
        <v>608</v>
      </c>
      <c r="S64" s="28" t="s">
        <v>608</v>
      </c>
      <c r="T64" s="28" t="s">
        <v>608</v>
      </c>
      <c r="U64" s="28" t="s">
        <v>7189</v>
      </c>
      <c r="V64" s="6" t="s">
        <v>608</v>
      </c>
      <c r="W64" s="6" t="s">
        <v>7205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7206</v>
      </c>
      <c r="B65" s="6" t="s">
        <v>7207</v>
      </c>
      <c r="C65" s="224" t="n">
        <v>16</v>
      </c>
      <c r="D65" s="196"/>
      <c r="E65" s="196"/>
      <c r="F65" s="196" t="s">
        <v>316</v>
      </c>
      <c r="G65" s="28" t="s">
        <v>7208</v>
      </c>
      <c r="H65" s="28" t="s">
        <v>7185</v>
      </c>
      <c r="I65" s="28" t="s">
        <v>6471</v>
      </c>
      <c r="J65" s="6" t="s">
        <v>7186</v>
      </c>
      <c r="K65" s="196" t="n">
        <v>1</v>
      </c>
      <c r="L65" s="196" t="s">
        <v>6461</v>
      </c>
      <c r="M65" s="6" t="s">
        <v>7187</v>
      </c>
      <c r="N65" s="196" t="s">
        <v>6463</v>
      </c>
      <c r="O65" s="28" t="s">
        <v>6464</v>
      </c>
      <c r="P65" s="28" t="s">
        <v>608</v>
      </c>
      <c r="Q65" s="28" t="s">
        <v>7188</v>
      </c>
      <c r="R65" s="28" t="s">
        <v>608</v>
      </c>
      <c r="S65" s="28" t="s">
        <v>608</v>
      </c>
      <c r="T65" s="28" t="s">
        <v>608</v>
      </c>
      <c r="U65" s="28" t="s">
        <v>7189</v>
      </c>
      <c r="V65" s="6" t="s">
        <v>608</v>
      </c>
      <c r="W65" s="6" t="s">
        <v>7209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7210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6436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0" t="s">
        <v>6451</v>
      </c>
      <c r="Y4" s="220" t="s">
        <v>6452</v>
      </c>
      <c r="Z4" s="220" t="s">
        <v>6453</v>
      </c>
      <c r="AA4" s="220" t="s">
        <v>7211</v>
      </c>
      <c r="AB4" s="220" t="s">
        <v>441</v>
      </c>
      <c r="AC4" s="82" t="s">
        <v>448</v>
      </c>
      <c r="AD4" s="82" t="s">
        <v>449</v>
      </c>
      <c r="AE4" s="220" t="s">
        <v>7212</v>
      </c>
      <c r="AF4" s="82" t="s">
        <v>7213</v>
      </c>
      <c r="AG4" s="82" t="s">
        <v>7214</v>
      </c>
      <c r="AH4" s="81" t="s">
        <v>6454</v>
      </c>
    </row>
    <row r="5" customFormat="false" ht="29.25" hidden="false" customHeight="true" outlineLevel="0" collapsed="false">
      <c r="A5" s="28" t="s">
        <v>4615</v>
      </c>
      <c r="B5" s="6" t="s">
        <v>7215</v>
      </c>
      <c r="C5" s="224" t="n">
        <v>6182</v>
      </c>
      <c r="D5" s="222"/>
      <c r="E5" s="222"/>
      <c r="F5" s="28" t="s">
        <v>7216</v>
      </c>
      <c r="G5" s="28" t="s">
        <v>7217</v>
      </c>
      <c r="H5" s="28" t="s">
        <v>168</v>
      </c>
      <c r="I5" s="28" t="s">
        <v>7218</v>
      </c>
      <c r="J5" s="6" t="s">
        <v>7219</v>
      </c>
      <c r="K5" s="222" t="n">
        <v>1</v>
      </c>
      <c r="L5" s="222" t="s">
        <v>6461</v>
      </c>
      <c r="M5" s="6" t="s">
        <v>7220</v>
      </c>
      <c r="N5" s="222" t="s">
        <v>7038</v>
      </c>
      <c r="O5" s="28" t="s">
        <v>6464</v>
      </c>
      <c r="P5" s="28" t="s">
        <v>608</v>
      </c>
      <c r="Q5" s="28" t="s">
        <v>7221</v>
      </c>
      <c r="R5" s="28" t="s">
        <v>608</v>
      </c>
      <c r="S5" s="28" t="s">
        <v>608</v>
      </c>
      <c r="T5" s="28" t="s">
        <v>608</v>
      </c>
      <c r="U5" s="28" t="s">
        <v>454</v>
      </c>
      <c r="V5" s="6" t="s">
        <v>7222</v>
      </c>
      <c r="W5" s="19" t="s">
        <v>7223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7224</v>
      </c>
      <c r="AB5" s="28" t="s">
        <v>7225</v>
      </c>
      <c r="AC5" s="224" t="n">
        <v>8192</v>
      </c>
      <c r="AD5" s="224" t="n">
        <v>1024</v>
      </c>
      <c r="AE5" s="224" t="n">
        <v>27</v>
      </c>
      <c r="AF5" s="224" t="n">
        <v>0</v>
      </c>
      <c r="AG5" s="222" t="s">
        <v>7226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4622</v>
      </c>
      <c r="B6" s="6" t="s">
        <v>7227</v>
      </c>
      <c r="C6" s="224" t="n">
        <v>2189</v>
      </c>
      <c r="D6" s="222"/>
      <c r="E6" s="222"/>
      <c r="F6" s="28" t="s">
        <v>7216</v>
      </c>
      <c r="G6" s="28" t="s">
        <v>7217</v>
      </c>
      <c r="H6" s="28" t="s">
        <v>167</v>
      </c>
      <c r="I6" s="28" t="s">
        <v>7218</v>
      </c>
      <c r="J6" s="6" t="s">
        <v>7219</v>
      </c>
      <c r="K6" s="222" t="n">
        <v>1</v>
      </c>
      <c r="L6" s="222" t="s">
        <v>6461</v>
      </c>
      <c r="M6" s="6" t="s">
        <v>7220</v>
      </c>
      <c r="N6" s="222" t="s">
        <v>7038</v>
      </c>
      <c r="O6" s="28" t="s">
        <v>6464</v>
      </c>
      <c r="P6" s="28" t="s">
        <v>608</v>
      </c>
      <c r="Q6" s="28" t="s">
        <v>7221</v>
      </c>
      <c r="R6" s="28" t="s">
        <v>608</v>
      </c>
      <c r="S6" s="28" t="s">
        <v>608</v>
      </c>
      <c r="T6" s="28" t="s">
        <v>608</v>
      </c>
      <c r="U6" s="28" t="s">
        <v>454</v>
      </c>
      <c r="V6" s="6" t="s">
        <v>7228</v>
      </c>
      <c r="W6" s="19" t="s">
        <v>7229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7224</v>
      </c>
      <c r="AB6" s="28" t="s">
        <v>7225</v>
      </c>
      <c r="AC6" s="224" t="n">
        <v>8192</v>
      </c>
      <c r="AD6" s="224" t="n">
        <v>1024</v>
      </c>
      <c r="AE6" s="224" t="n">
        <v>27</v>
      </c>
      <c r="AF6" s="224" t="n">
        <v>0</v>
      </c>
      <c r="AG6" s="222" t="s">
        <v>7226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7230</v>
      </c>
      <c r="B7" s="6" t="s">
        <v>7231</v>
      </c>
      <c r="C7" s="224" t="n">
        <v>11056</v>
      </c>
      <c r="D7" s="222"/>
      <c r="E7" s="222"/>
      <c r="F7" s="28" t="s">
        <v>560</v>
      </c>
      <c r="G7" s="28" t="s">
        <v>608</v>
      </c>
      <c r="H7" s="28" t="s">
        <v>168</v>
      </c>
      <c r="I7" s="28" t="s">
        <v>7218</v>
      </c>
      <c r="J7" s="6" t="s">
        <v>7219</v>
      </c>
      <c r="K7" s="222" t="n">
        <v>1</v>
      </c>
      <c r="L7" s="222" t="s">
        <v>6461</v>
      </c>
      <c r="M7" s="6" t="s">
        <v>7220</v>
      </c>
      <c r="N7" s="222" t="s">
        <v>7038</v>
      </c>
      <c r="O7" s="28" t="s">
        <v>6464</v>
      </c>
      <c r="P7" s="28" t="s">
        <v>608</v>
      </c>
      <c r="Q7" s="28" t="s">
        <v>7221</v>
      </c>
      <c r="R7" s="28" t="s">
        <v>608</v>
      </c>
      <c r="S7" s="28" t="s">
        <v>608</v>
      </c>
      <c r="T7" s="28" t="s">
        <v>608</v>
      </c>
      <c r="U7" s="28" t="s">
        <v>454</v>
      </c>
      <c r="V7" s="6" t="s">
        <v>608</v>
      </c>
      <c r="W7" s="6" t="s">
        <v>608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4609</v>
      </c>
      <c r="B8" s="6" t="s">
        <v>7232</v>
      </c>
      <c r="C8" s="224" t="n">
        <v>11200</v>
      </c>
      <c r="D8" s="222"/>
      <c r="E8" s="222"/>
      <c r="F8" s="28" t="s">
        <v>7216</v>
      </c>
      <c r="G8" s="28" t="s">
        <v>7217</v>
      </c>
      <c r="H8" s="28" t="s">
        <v>168</v>
      </c>
      <c r="I8" s="28" t="s">
        <v>7233</v>
      </c>
      <c r="J8" s="6" t="s">
        <v>7234</v>
      </c>
      <c r="K8" s="222" t="n">
        <v>1</v>
      </c>
      <c r="L8" s="222" t="s">
        <v>6461</v>
      </c>
      <c r="M8" s="6" t="s">
        <v>7235</v>
      </c>
      <c r="N8" s="222" t="s">
        <v>7038</v>
      </c>
      <c r="O8" s="28" t="s">
        <v>6464</v>
      </c>
      <c r="P8" s="28" t="s">
        <v>608</v>
      </c>
      <c r="Q8" s="28" t="s">
        <v>7236</v>
      </c>
      <c r="R8" s="28" t="s">
        <v>608</v>
      </c>
      <c r="S8" s="28" t="s">
        <v>608</v>
      </c>
      <c r="T8" s="28" t="s">
        <v>608</v>
      </c>
      <c r="U8" s="28" t="s">
        <v>453</v>
      </c>
      <c r="V8" s="6" t="s">
        <v>7237</v>
      </c>
      <c r="W8" s="6" t="s">
        <v>608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7224</v>
      </c>
      <c r="AB8" s="28" t="s">
        <v>7238</v>
      </c>
      <c r="AC8" s="224" t="n">
        <v>8192</v>
      </c>
      <c r="AD8" s="224" t="n">
        <v>1024</v>
      </c>
      <c r="AE8" s="224" t="n">
        <v>50</v>
      </c>
      <c r="AF8" s="224" t="n">
        <v>1</v>
      </c>
      <c r="AG8" s="222" t="s">
        <v>7226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4437</v>
      </c>
      <c r="B9" s="6" t="s">
        <v>7239</v>
      </c>
      <c r="C9" s="224" t="n">
        <v>0.7</v>
      </c>
      <c r="D9" s="222"/>
      <c r="E9" s="222"/>
      <c r="F9" s="28" t="s">
        <v>93</v>
      </c>
      <c r="G9" s="28" t="s">
        <v>7240</v>
      </c>
      <c r="H9" s="28" t="s">
        <v>6969</v>
      </c>
      <c r="I9" s="28" t="s">
        <v>7233</v>
      </c>
      <c r="J9" s="6" t="s">
        <v>7234</v>
      </c>
      <c r="K9" s="222" t="n">
        <v>1</v>
      </c>
      <c r="L9" s="222" t="s">
        <v>6461</v>
      </c>
      <c r="M9" s="6" t="s">
        <v>7235</v>
      </c>
      <c r="N9" s="222" t="s">
        <v>7038</v>
      </c>
      <c r="O9" s="28" t="s">
        <v>6464</v>
      </c>
      <c r="P9" s="28" t="s">
        <v>608</v>
      </c>
      <c r="Q9" s="28" t="s">
        <v>7236</v>
      </c>
      <c r="R9" s="28" t="s">
        <v>608</v>
      </c>
      <c r="S9" s="28" t="s">
        <v>608</v>
      </c>
      <c r="T9" s="28" t="s">
        <v>608</v>
      </c>
      <c r="U9" s="28" t="s">
        <v>453</v>
      </c>
      <c r="V9" s="6" t="s">
        <v>7241</v>
      </c>
      <c r="W9" s="19" t="s">
        <v>7242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7243</v>
      </c>
      <c r="B10" s="6" t="s">
        <v>7244</v>
      </c>
      <c r="C10" s="224" t="n">
        <v>0.57</v>
      </c>
      <c r="D10" s="222"/>
      <c r="E10" s="222"/>
      <c r="F10" s="28" t="s">
        <v>93</v>
      </c>
      <c r="G10" s="28" t="s">
        <v>7245</v>
      </c>
      <c r="H10" s="28" t="s">
        <v>6969</v>
      </c>
      <c r="I10" s="28" t="s">
        <v>7233</v>
      </c>
      <c r="J10" s="6" t="s">
        <v>7234</v>
      </c>
      <c r="K10" s="222" t="n">
        <v>1</v>
      </c>
      <c r="L10" s="222" t="s">
        <v>6461</v>
      </c>
      <c r="M10" s="6" t="s">
        <v>7235</v>
      </c>
      <c r="N10" s="222" t="s">
        <v>7038</v>
      </c>
      <c r="O10" s="28" t="s">
        <v>6551</v>
      </c>
      <c r="P10" s="28" t="s">
        <v>608</v>
      </c>
      <c r="Q10" s="28" t="s">
        <v>7236</v>
      </c>
      <c r="R10" s="28" t="s">
        <v>608</v>
      </c>
      <c r="S10" s="28" t="s">
        <v>608</v>
      </c>
      <c r="T10" s="28" t="s">
        <v>608</v>
      </c>
      <c r="U10" s="28" t="s">
        <v>453</v>
      </c>
      <c r="V10" s="6" t="s">
        <v>608</v>
      </c>
      <c r="W10" s="19" t="s">
        <v>7246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4245</v>
      </c>
      <c r="B11" s="6" t="s">
        <v>7247</v>
      </c>
      <c r="C11" s="224" t="n">
        <v>4</v>
      </c>
      <c r="D11" s="222"/>
      <c r="E11" s="222"/>
      <c r="F11" s="28" t="s">
        <v>719</v>
      </c>
      <c r="G11" s="28" t="s">
        <v>7248</v>
      </c>
      <c r="H11" s="28" t="s">
        <v>168</v>
      </c>
      <c r="I11" s="28" t="s">
        <v>7233</v>
      </c>
      <c r="J11" s="6" t="s">
        <v>7234</v>
      </c>
      <c r="K11" s="222" t="n">
        <v>1</v>
      </c>
      <c r="L11" s="222" t="s">
        <v>6461</v>
      </c>
      <c r="M11" s="6" t="s">
        <v>7235</v>
      </c>
      <c r="N11" s="222" t="s">
        <v>7038</v>
      </c>
      <c r="O11" s="28" t="s">
        <v>6464</v>
      </c>
      <c r="P11" s="28" t="s">
        <v>608</v>
      </c>
      <c r="Q11" s="28" t="s">
        <v>7236</v>
      </c>
      <c r="R11" s="28" t="s">
        <v>608</v>
      </c>
      <c r="S11" s="28" t="s">
        <v>608</v>
      </c>
      <c r="T11" s="28" t="s">
        <v>608</v>
      </c>
      <c r="U11" s="28" t="s">
        <v>453</v>
      </c>
      <c r="V11" s="6" t="s">
        <v>7249</v>
      </c>
      <c r="W11" s="6" t="s">
        <v>7250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4208</v>
      </c>
      <c r="B12" s="6" t="s">
        <v>7251</v>
      </c>
      <c r="C12" s="224" t="n">
        <v>32</v>
      </c>
      <c r="D12" s="222"/>
      <c r="E12" s="222"/>
      <c r="F12" s="28" t="s">
        <v>719</v>
      </c>
      <c r="G12" s="28" t="s">
        <v>7252</v>
      </c>
      <c r="H12" s="28" t="s">
        <v>168</v>
      </c>
      <c r="I12" s="28" t="s">
        <v>7233</v>
      </c>
      <c r="J12" s="6" t="s">
        <v>7234</v>
      </c>
      <c r="K12" s="222" t="n">
        <v>1</v>
      </c>
      <c r="L12" s="222" t="s">
        <v>6461</v>
      </c>
      <c r="M12" s="6" t="s">
        <v>7235</v>
      </c>
      <c r="N12" s="222" t="s">
        <v>7038</v>
      </c>
      <c r="O12" s="28" t="s">
        <v>6464</v>
      </c>
      <c r="P12" s="28" t="s">
        <v>608</v>
      </c>
      <c r="Q12" s="28" t="s">
        <v>7236</v>
      </c>
      <c r="R12" s="28" t="s">
        <v>608</v>
      </c>
      <c r="S12" s="28" t="s">
        <v>608</v>
      </c>
      <c r="T12" s="28" t="s">
        <v>608</v>
      </c>
      <c r="U12" s="28" t="s">
        <v>453</v>
      </c>
      <c r="V12" s="6" t="s">
        <v>7253</v>
      </c>
      <c r="W12" s="6" t="s">
        <v>7250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4592</v>
      </c>
      <c r="B13" s="6" t="s">
        <v>7254</v>
      </c>
      <c r="C13" s="224" t="n">
        <v>9342.1</v>
      </c>
      <c r="D13" s="222"/>
      <c r="E13" s="222"/>
      <c r="F13" s="28" t="s">
        <v>7216</v>
      </c>
      <c r="G13" s="28" t="s">
        <v>7255</v>
      </c>
      <c r="H13" s="28" t="s">
        <v>168</v>
      </c>
      <c r="I13" s="222" t="s">
        <v>7256</v>
      </c>
      <c r="J13" s="6" t="s">
        <v>7257</v>
      </c>
      <c r="K13" s="222" t="n">
        <v>2</v>
      </c>
      <c r="L13" s="222" t="s">
        <v>6461</v>
      </c>
      <c r="M13" s="6" t="s">
        <v>7258</v>
      </c>
      <c r="N13" s="222" t="s">
        <v>6463</v>
      </c>
      <c r="O13" s="28" t="s">
        <v>6464</v>
      </c>
      <c r="P13" s="28" t="s">
        <v>608</v>
      </c>
      <c r="Q13" s="28" t="s">
        <v>7259</v>
      </c>
      <c r="R13" s="28" t="s">
        <v>608</v>
      </c>
      <c r="S13" s="28" t="s">
        <v>6041</v>
      </c>
      <c r="T13" s="28" t="s">
        <v>608</v>
      </c>
      <c r="U13" s="28" t="s">
        <v>452</v>
      </c>
      <c r="V13" s="6" t="s">
        <v>7260</v>
      </c>
      <c r="W13" s="19" t="s">
        <v>7261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7224</v>
      </c>
      <c r="AB13" s="28" t="s">
        <v>7262</v>
      </c>
      <c r="AC13" s="224" t="n">
        <v>8192</v>
      </c>
      <c r="AD13" s="224" t="n">
        <v>1024</v>
      </c>
      <c r="AE13" s="224" t="n">
        <v>72</v>
      </c>
      <c r="AF13" s="224" t="n">
        <v>1</v>
      </c>
      <c r="AG13" s="222" t="s">
        <v>7226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4601</v>
      </c>
      <c r="B14" s="6" t="s">
        <v>7263</v>
      </c>
      <c r="C14" s="224" t="n">
        <v>3405.2</v>
      </c>
      <c r="D14" s="222"/>
      <c r="E14" s="222"/>
      <c r="F14" s="28" t="s">
        <v>7216</v>
      </c>
      <c r="G14" s="28" t="s">
        <v>7255</v>
      </c>
      <c r="H14" s="28" t="s">
        <v>168</v>
      </c>
      <c r="I14" s="222" t="s">
        <v>7256</v>
      </c>
      <c r="J14" s="6" t="s">
        <v>7257</v>
      </c>
      <c r="K14" s="222" t="n">
        <v>2</v>
      </c>
      <c r="L14" s="222" t="s">
        <v>6461</v>
      </c>
      <c r="M14" s="6" t="s">
        <v>7258</v>
      </c>
      <c r="N14" s="222" t="s">
        <v>6463</v>
      </c>
      <c r="O14" s="28" t="s">
        <v>6464</v>
      </c>
      <c r="P14" s="28" t="s">
        <v>608</v>
      </c>
      <c r="Q14" s="28" t="s">
        <v>7264</v>
      </c>
      <c r="R14" s="28" t="s">
        <v>608</v>
      </c>
      <c r="S14" s="28" t="s">
        <v>6041</v>
      </c>
      <c r="T14" s="28" t="s">
        <v>608</v>
      </c>
      <c r="U14" s="28" t="s">
        <v>452</v>
      </c>
      <c r="V14" s="6" t="s">
        <v>7265</v>
      </c>
      <c r="W14" s="19" t="s">
        <v>7266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7224</v>
      </c>
      <c r="AB14" s="28" t="s">
        <v>7262</v>
      </c>
      <c r="AC14" s="224" t="n">
        <v>8192</v>
      </c>
      <c r="AD14" s="224" t="n">
        <v>1024</v>
      </c>
      <c r="AE14" s="224" t="n">
        <v>130</v>
      </c>
      <c r="AF14" s="224" t="n">
        <v>1</v>
      </c>
      <c r="AG14" s="222" t="s">
        <v>7226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2825</v>
      </c>
      <c r="B15" s="6" t="s">
        <v>7267</v>
      </c>
      <c r="C15" s="224" t="n">
        <v>0.078</v>
      </c>
      <c r="D15" s="222"/>
      <c r="E15" s="222"/>
      <c r="F15" s="28" t="s">
        <v>7268</v>
      </c>
      <c r="G15" s="28" t="s">
        <v>7269</v>
      </c>
      <c r="H15" s="28" t="s">
        <v>168</v>
      </c>
      <c r="I15" s="222" t="s">
        <v>7256</v>
      </c>
      <c r="J15" s="6" t="s">
        <v>7257</v>
      </c>
      <c r="K15" s="222" t="n">
        <v>3</v>
      </c>
      <c r="L15" s="222" t="s">
        <v>6461</v>
      </c>
      <c r="M15" s="6" t="s">
        <v>7258</v>
      </c>
      <c r="N15" s="222" t="s">
        <v>7270</v>
      </c>
      <c r="O15" s="28" t="s">
        <v>6464</v>
      </c>
      <c r="P15" s="28" t="s">
        <v>608</v>
      </c>
      <c r="Q15" s="28" t="s">
        <v>7271</v>
      </c>
      <c r="R15" s="28" t="s">
        <v>608</v>
      </c>
      <c r="S15" s="28" t="s">
        <v>608</v>
      </c>
      <c r="T15" s="28" t="s">
        <v>608</v>
      </c>
      <c r="U15" s="28" t="s">
        <v>452</v>
      </c>
      <c r="V15" s="6" t="s">
        <v>7272</v>
      </c>
      <c r="W15" s="6" t="s">
        <v>608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7273</v>
      </c>
      <c r="B16" s="6" t="s">
        <v>7274</v>
      </c>
      <c r="C16" s="224" t="n">
        <v>0.216</v>
      </c>
      <c r="D16" s="222"/>
      <c r="E16" s="222"/>
      <c r="F16" s="28" t="s">
        <v>7268</v>
      </c>
      <c r="G16" s="28" t="s">
        <v>7269</v>
      </c>
      <c r="H16" s="28" t="s">
        <v>168</v>
      </c>
      <c r="I16" s="222" t="s">
        <v>7256</v>
      </c>
      <c r="J16" s="6" t="s">
        <v>7257</v>
      </c>
      <c r="K16" s="222" t="n">
        <v>3</v>
      </c>
      <c r="L16" s="222" t="s">
        <v>6461</v>
      </c>
      <c r="M16" s="6" t="s">
        <v>7258</v>
      </c>
      <c r="N16" s="222" t="s">
        <v>7270</v>
      </c>
      <c r="O16" s="28" t="s">
        <v>6464</v>
      </c>
      <c r="P16" s="28" t="s">
        <v>608</v>
      </c>
      <c r="Q16" s="28" t="s">
        <v>7271</v>
      </c>
      <c r="R16" s="28" t="s">
        <v>608</v>
      </c>
      <c r="S16" s="28" t="s">
        <v>608</v>
      </c>
      <c r="T16" s="28" t="s">
        <v>608</v>
      </c>
      <c r="U16" s="28" t="s">
        <v>452</v>
      </c>
      <c r="V16" s="6" t="s">
        <v>608</v>
      </c>
      <c r="W16" s="6" t="s">
        <v>608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7275</v>
      </c>
      <c r="B17" s="6" t="s">
        <v>7276</v>
      </c>
      <c r="C17" s="224" t="n">
        <v>1.436</v>
      </c>
      <c r="D17" s="222"/>
      <c r="E17" s="222"/>
      <c r="F17" s="28" t="s">
        <v>7268</v>
      </c>
      <c r="G17" s="28" t="s">
        <v>7269</v>
      </c>
      <c r="H17" s="28" t="s">
        <v>168</v>
      </c>
      <c r="I17" s="222" t="s">
        <v>7256</v>
      </c>
      <c r="J17" s="6" t="s">
        <v>7257</v>
      </c>
      <c r="K17" s="222" t="n">
        <v>3</v>
      </c>
      <c r="L17" s="222" t="s">
        <v>6461</v>
      </c>
      <c r="M17" s="6" t="s">
        <v>7258</v>
      </c>
      <c r="N17" s="222" t="s">
        <v>7270</v>
      </c>
      <c r="O17" s="28" t="s">
        <v>6464</v>
      </c>
      <c r="P17" s="28" t="s">
        <v>608</v>
      </c>
      <c r="Q17" s="28" t="s">
        <v>7271</v>
      </c>
      <c r="R17" s="28" t="s">
        <v>608</v>
      </c>
      <c r="S17" s="28" t="s">
        <v>608</v>
      </c>
      <c r="T17" s="28" t="s">
        <v>608</v>
      </c>
      <c r="U17" s="28" t="s">
        <v>452</v>
      </c>
      <c r="V17" s="6" t="s">
        <v>608</v>
      </c>
      <c r="W17" s="6" t="s">
        <v>608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4632</v>
      </c>
      <c r="B18" s="6" t="s">
        <v>7277</v>
      </c>
      <c r="C18" s="224" t="n">
        <v>3795.5</v>
      </c>
      <c r="D18" s="222"/>
      <c r="E18" s="222"/>
      <c r="F18" s="28" t="s">
        <v>560</v>
      </c>
      <c r="G18" s="222" t="s">
        <v>7278</v>
      </c>
      <c r="H18" s="28" t="s">
        <v>167</v>
      </c>
      <c r="I18" s="28" t="s">
        <v>7279</v>
      </c>
      <c r="J18" s="6" t="s">
        <v>7280</v>
      </c>
      <c r="K18" s="222" t="n">
        <v>1</v>
      </c>
      <c r="L18" s="222" t="s">
        <v>6461</v>
      </c>
      <c r="M18" s="6" t="s">
        <v>7281</v>
      </c>
      <c r="N18" s="222" t="s">
        <v>7038</v>
      </c>
      <c r="O18" s="28" t="s">
        <v>6464</v>
      </c>
      <c r="P18" s="28" t="s">
        <v>608</v>
      </c>
      <c r="Q18" s="28" t="s">
        <v>7282</v>
      </c>
      <c r="R18" s="28" t="s">
        <v>608</v>
      </c>
      <c r="S18" s="28" t="s">
        <v>608</v>
      </c>
      <c r="T18" s="28" t="s">
        <v>608</v>
      </c>
      <c r="U18" s="28" t="s">
        <v>455</v>
      </c>
      <c r="V18" s="6" t="s">
        <v>7283</v>
      </c>
      <c r="W18" s="19" t="s">
        <v>3528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7224</v>
      </c>
      <c r="AB18" s="28" t="s">
        <v>7284</v>
      </c>
      <c r="AC18" s="224" t="n">
        <v>8192</v>
      </c>
      <c r="AD18" s="224" t="n">
        <v>1024</v>
      </c>
      <c r="AE18" s="224" t="n">
        <v>110</v>
      </c>
      <c r="AF18" s="224" t="n">
        <v>1</v>
      </c>
      <c r="AG18" s="222" t="s">
        <v>7226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4643</v>
      </c>
      <c r="B19" s="6" t="s">
        <v>7285</v>
      </c>
      <c r="C19" s="224" t="n">
        <v>6522.4</v>
      </c>
      <c r="D19" s="222"/>
      <c r="E19" s="222"/>
      <c r="F19" s="28" t="s">
        <v>560</v>
      </c>
      <c r="G19" s="222" t="s">
        <v>119</v>
      </c>
      <c r="H19" s="28" t="s">
        <v>168</v>
      </c>
      <c r="I19" s="28" t="s">
        <v>7279</v>
      </c>
      <c r="J19" s="6" t="s">
        <v>7280</v>
      </c>
      <c r="K19" s="222" t="n">
        <v>1</v>
      </c>
      <c r="L19" s="222" t="s">
        <v>6461</v>
      </c>
      <c r="M19" s="6" t="s">
        <v>7281</v>
      </c>
      <c r="N19" s="222" t="s">
        <v>7038</v>
      </c>
      <c r="O19" s="28" t="s">
        <v>6464</v>
      </c>
      <c r="P19" s="28" t="s">
        <v>608</v>
      </c>
      <c r="Q19" s="28" t="s">
        <v>7282</v>
      </c>
      <c r="R19" s="28" t="s">
        <v>608</v>
      </c>
      <c r="S19" s="28" t="s">
        <v>608</v>
      </c>
      <c r="T19" s="28" t="s">
        <v>608</v>
      </c>
      <c r="U19" s="28" t="s">
        <v>455</v>
      </c>
      <c r="V19" s="6" t="s">
        <v>7286</v>
      </c>
      <c r="W19" s="19" t="s">
        <v>3528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7224</v>
      </c>
      <c r="AB19" s="28" t="s">
        <v>7284</v>
      </c>
      <c r="AC19" s="224" t="n">
        <v>8192</v>
      </c>
      <c r="AD19" s="224" t="n">
        <v>1024</v>
      </c>
      <c r="AE19" s="224" t="n">
        <v>110</v>
      </c>
      <c r="AF19" s="224" t="n">
        <v>1</v>
      </c>
      <c r="AG19" s="222" t="s">
        <v>7226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7287</v>
      </c>
      <c r="B20" s="6" t="s">
        <v>7288</v>
      </c>
      <c r="C20" s="224" t="n">
        <v>4036</v>
      </c>
      <c r="D20" s="222"/>
      <c r="E20" s="222"/>
      <c r="F20" s="28" t="s">
        <v>560</v>
      </c>
      <c r="G20" s="222" t="s">
        <v>3528</v>
      </c>
      <c r="H20" s="28" t="s">
        <v>7289</v>
      </c>
      <c r="I20" s="28" t="s">
        <v>1214</v>
      </c>
      <c r="J20" s="6" t="s">
        <v>7290</v>
      </c>
      <c r="K20" s="222" t="n">
        <v>1</v>
      </c>
      <c r="L20" s="222" t="s">
        <v>6461</v>
      </c>
      <c r="M20" s="6" t="s">
        <v>7291</v>
      </c>
      <c r="N20" s="222" t="s">
        <v>7038</v>
      </c>
      <c r="O20" s="28" t="s">
        <v>6464</v>
      </c>
      <c r="P20" s="28" t="s">
        <v>608</v>
      </c>
      <c r="Q20" s="28" t="s">
        <v>7292</v>
      </c>
      <c r="R20" s="28" t="s">
        <v>608</v>
      </c>
      <c r="S20" s="28" t="s">
        <v>608</v>
      </c>
      <c r="T20" s="28" t="s">
        <v>608</v>
      </c>
      <c r="U20" s="28" t="s">
        <v>7293</v>
      </c>
      <c r="V20" s="6" t="s">
        <v>608</v>
      </c>
      <c r="W20" s="19" t="s">
        <v>7294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7295</v>
      </c>
      <c r="B21" s="6" t="s">
        <v>7296</v>
      </c>
      <c r="C21" s="224" t="n">
        <v>3102</v>
      </c>
      <c r="D21" s="222"/>
      <c r="E21" s="222"/>
      <c r="F21" s="28" t="s">
        <v>560</v>
      </c>
      <c r="G21" s="222" t="s">
        <v>3528</v>
      </c>
      <c r="H21" s="28" t="s">
        <v>7289</v>
      </c>
      <c r="I21" s="28" t="s">
        <v>1214</v>
      </c>
      <c r="J21" s="6" t="s">
        <v>7290</v>
      </c>
      <c r="K21" s="222" t="n">
        <v>1</v>
      </c>
      <c r="L21" s="222" t="s">
        <v>6461</v>
      </c>
      <c r="M21" s="6" t="s">
        <v>7291</v>
      </c>
      <c r="N21" s="222" t="s">
        <v>7038</v>
      </c>
      <c r="O21" s="28" t="s">
        <v>6464</v>
      </c>
      <c r="P21" s="28" t="s">
        <v>608</v>
      </c>
      <c r="Q21" s="28" t="s">
        <v>7292</v>
      </c>
      <c r="R21" s="28" t="s">
        <v>608</v>
      </c>
      <c r="S21" s="28" t="s">
        <v>608</v>
      </c>
      <c r="T21" s="28" t="s">
        <v>608</v>
      </c>
      <c r="U21" s="28" t="s">
        <v>7293</v>
      </c>
      <c r="V21" s="6" t="s">
        <v>608</v>
      </c>
      <c r="W21" s="19" t="s">
        <v>7294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4465</v>
      </c>
      <c r="B22" s="19" t="s">
        <v>7297</v>
      </c>
      <c r="C22" s="224" t="n">
        <v>120</v>
      </c>
      <c r="D22" s="222"/>
      <c r="E22" s="222"/>
      <c r="F22" s="28" t="s">
        <v>7298</v>
      </c>
      <c r="G22" s="222" t="s">
        <v>7299</v>
      </c>
      <c r="H22" s="28" t="s">
        <v>7300</v>
      </c>
      <c r="I22" s="28" t="s">
        <v>1211</v>
      </c>
      <c r="J22" s="6" t="s">
        <v>7301</v>
      </c>
      <c r="K22" s="222" t="n">
        <v>1</v>
      </c>
      <c r="L22" s="222" t="s">
        <v>6568</v>
      </c>
      <c r="M22" s="6" t="s">
        <v>7302</v>
      </c>
      <c r="N22" s="222" t="s">
        <v>7038</v>
      </c>
      <c r="O22" s="28" t="s">
        <v>6464</v>
      </c>
      <c r="P22" s="28" t="s">
        <v>608</v>
      </c>
      <c r="Q22" s="28" t="s">
        <v>7303</v>
      </c>
      <c r="R22" s="28" t="s">
        <v>608</v>
      </c>
      <c r="S22" s="28" t="s">
        <v>608</v>
      </c>
      <c r="T22" s="28" t="s">
        <v>608</v>
      </c>
      <c r="U22" s="28" t="s">
        <v>7304</v>
      </c>
      <c r="V22" s="6" t="s">
        <v>7305</v>
      </c>
      <c r="W22" s="6" t="s">
        <v>4466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4468</v>
      </c>
      <c r="B23" s="19" t="s">
        <v>7306</v>
      </c>
      <c r="C23" s="224" t="n">
        <v>68</v>
      </c>
      <c r="D23" s="222"/>
      <c r="E23" s="222"/>
      <c r="F23" s="28" t="s">
        <v>7298</v>
      </c>
      <c r="G23" s="222" t="s">
        <v>7299</v>
      </c>
      <c r="H23" s="28" t="s">
        <v>7307</v>
      </c>
      <c r="I23" s="28" t="s">
        <v>1211</v>
      </c>
      <c r="J23" s="6" t="s">
        <v>7301</v>
      </c>
      <c r="K23" s="222" t="n">
        <v>1</v>
      </c>
      <c r="L23" s="222" t="s">
        <v>6568</v>
      </c>
      <c r="M23" s="6" t="s">
        <v>7302</v>
      </c>
      <c r="N23" s="222" t="s">
        <v>7038</v>
      </c>
      <c r="O23" s="28" t="s">
        <v>6464</v>
      </c>
      <c r="P23" s="28" t="s">
        <v>608</v>
      </c>
      <c r="Q23" s="28" t="s">
        <v>7303</v>
      </c>
      <c r="R23" s="28" t="s">
        <v>608</v>
      </c>
      <c r="S23" s="28" t="s">
        <v>608</v>
      </c>
      <c r="T23" s="28" t="s">
        <v>608</v>
      </c>
      <c r="U23" s="28" t="s">
        <v>7304</v>
      </c>
      <c r="V23" s="6" t="s">
        <v>7308</v>
      </c>
      <c r="W23" s="6" t="s">
        <v>7309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4472</v>
      </c>
      <c r="B24" s="19" t="s">
        <v>7310</v>
      </c>
      <c r="C24" s="222"/>
      <c r="D24" s="224" t="n">
        <v>52</v>
      </c>
      <c r="E24" s="224" t="n">
        <v>56</v>
      </c>
      <c r="F24" s="28" t="s">
        <v>7298</v>
      </c>
      <c r="G24" s="222" t="s">
        <v>7299</v>
      </c>
      <c r="H24" s="28" t="s">
        <v>1206</v>
      </c>
      <c r="I24" s="28" t="s">
        <v>1211</v>
      </c>
      <c r="J24" s="6" t="s">
        <v>7301</v>
      </c>
      <c r="K24" s="222" t="n">
        <v>1</v>
      </c>
      <c r="L24" s="222" t="s">
        <v>6568</v>
      </c>
      <c r="M24" s="6" t="s">
        <v>7302</v>
      </c>
      <c r="N24" s="222" t="s">
        <v>7038</v>
      </c>
      <c r="O24" s="28" t="s">
        <v>6464</v>
      </c>
      <c r="P24" s="28" t="s">
        <v>608</v>
      </c>
      <c r="Q24" s="28" t="s">
        <v>7303</v>
      </c>
      <c r="R24" s="28" t="s">
        <v>608</v>
      </c>
      <c r="S24" s="28" t="s">
        <v>608</v>
      </c>
      <c r="T24" s="28" t="s">
        <v>608</v>
      </c>
      <c r="U24" s="28" t="s">
        <v>7304</v>
      </c>
      <c r="V24" s="6" t="s">
        <v>7311</v>
      </c>
      <c r="W24" s="6" t="s">
        <v>7312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7313</v>
      </c>
      <c r="B25" s="19" t="s">
        <v>7314</v>
      </c>
      <c r="C25" s="224" t="n">
        <v>54</v>
      </c>
      <c r="D25" s="222"/>
      <c r="E25" s="222"/>
      <c r="F25" s="28" t="s">
        <v>7298</v>
      </c>
      <c r="G25" s="222" t="s">
        <v>7299</v>
      </c>
      <c r="H25" s="28" t="s">
        <v>1213</v>
      </c>
      <c r="I25" s="28" t="s">
        <v>1211</v>
      </c>
      <c r="J25" s="6" t="s">
        <v>7301</v>
      </c>
      <c r="K25" s="222" t="n">
        <v>1</v>
      </c>
      <c r="L25" s="222" t="s">
        <v>6568</v>
      </c>
      <c r="M25" s="6" t="s">
        <v>7302</v>
      </c>
      <c r="N25" s="222" t="s">
        <v>7038</v>
      </c>
      <c r="O25" s="28" t="s">
        <v>6464</v>
      </c>
      <c r="P25" s="28" t="s">
        <v>608</v>
      </c>
      <c r="Q25" s="28" t="s">
        <v>7303</v>
      </c>
      <c r="R25" s="28" t="s">
        <v>608</v>
      </c>
      <c r="S25" s="28" t="s">
        <v>608</v>
      </c>
      <c r="T25" s="28" t="s">
        <v>608</v>
      </c>
      <c r="U25" s="28" t="s">
        <v>7304</v>
      </c>
      <c r="V25" s="6" t="s">
        <v>608</v>
      </c>
      <c r="W25" s="6" t="s">
        <v>608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7315</v>
      </c>
      <c r="B26" s="19" t="s">
        <v>7316</v>
      </c>
      <c r="C26" s="222"/>
      <c r="D26" s="224" t="n">
        <v>290</v>
      </c>
      <c r="E26" s="224" t="n">
        <v>350</v>
      </c>
      <c r="F26" s="28" t="s">
        <v>7298</v>
      </c>
      <c r="G26" s="222" t="s">
        <v>7299</v>
      </c>
      <c r="H26" s="28" t="s">
        <v>7317</v>
      </c>
      <c r="I26" s="28" t="s">
        <v>1211</v>
      </c>
      <c r="J26" s="6" t="s">
        <v>7301</v>
      </c>
      <c r="K26" s="222" t="n">
        <v>1</v>
      </c>
      <c r="L26" s="222" t="s">
        <v>6568</v>
      </c>
      <c r="M26" s="6" t="s">
        <v>7302</v>
      </c>
      <c r="N26" s="222" t="s">
        <v>7038</v>
      </c>
      <c r="O26" s="28" t="s">
        <v>6464</v>
      </c>
      <c r="P26" s="28" t="s">
        <v>608</v>
      </c>
      <c r="Q26" s="28" t="s">
        <v>7303</v>
      </c>
      <c r="R26" s="28" t="s">
        <v>608</v>
      </c>
      <c r="S26" s="28" t="s">
        <v>608</v>
      </c>
      <c r="T26" s="28" t="s">
        <v>608</v>
      </c>
      <c r="U26" s="28" t="s">
        <v>7304</v>
      </c>
      <c r="V26" s="6" t="s">
        <v>608</v>
      </c>
      <c r="W26" s="6" t="s">
        <v>608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7318</v>
      </c>
      <c r="B27" s="6" t="s">
        <v>7319</v>
      </c>
      <c r="C27" s="224" t="n">
        <v>20</v>
      </c>
      <c r="D27" s="222"/>
      <c r="E27" s="222"/>
      <c r="F27" s="28" t="s">
        <v>7298</v>
      </c>
      <c r="G27" s="222" t="s">
        <v>7320</v>
      </c>
      <c r="H27" s="28" t="s">
        <v>7321</v>
      </c>
      <c r="I27" s="28" t="s">
        <v>7322</v>
      </c>
      <c r="J27" s="6" t="s">
        <v>7323</v>
      </c>
      <c r="K27" s="222" t="n">
        <v>3</v>
      </c>
      <c r="L27" s="222" t="s">
        <v>6461</v>
      </c>
      <c r="M27" s="6" t="s">
        <v>7324</v>
      </c>
      <c r="N27" s="222" t="s">
        <v>6599</v>
      </c>
      <c r="O27" s="28" t="s">
        <v>6464</v>
      </c>
      <c r="P27" s="28" t="s">
        <v>608</v>
      </c>
      <c r="Q27" s="28" t="s">
        <v>7325</v>
      </c>
      <c r="R27" s="28" t="s">
        <v>608</v>
      </c>
      <c r="S27" s="28" t="s">
        <v>608</v>
      </c>
      <c r="T27" s="28" t="s">
        <v>608</v>
      </c>
      <c r="U27" s="28" t="s">
        <v>7326</v>
      </c>
      <c r="V27" s="6" t="s">
        <v>608</v>
      </c>
      <c r="W27" s="19" t="s">
        <v>7327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7328</v>
      </c>
      <c r="B28" s="6" t="s">
        <v>7329</v>
      </c>
      <c r="C28" s="224" t="n">
        <v>250634</v>
      </c>
      <c r="D28" s="222"/>
      <c r="E28" s="222"/>
      <c r="F28" s="28" t="s">
        <v>7330</v>
      </c>
      <c r="G28" s="28" t="s">
        <v>7331</v>
      </c>
      <c r="H28" s="28" t="s">
        <v>168</v>
      </c>
      <c r="I28" s="28" t="s">
        <v>7332</v>
      </c>
      <c r="J28" s="6" t="s">
        <v>7333</v>
      </c>
      <c r="K28" s="222" t="n">
        <v>2</v>
      </c>
      <c r="L28" s="222" t="s">
        <v>6461</v>
      </c>
      <c r="M28" s="6" t="s">
        <v>7334</v>
      </c>
      <c r="N28" s="222" t="s">
        <v>7335</v>
      </c>
      <c r="O28" s="28" t="s">
        <v>6464</v>
      </c>
      <c r="P28" s="28" t="s">
        <v>608</v>
      </c>
      <c r="Q28" s="28" t="s">
        <v>7336</v>
      </c>
      <c r="R28" s="28" t="s">
        <v>608</v>
      </c>
      <c r="S28" s="28" t="s">
        <v>608</v>
      </c>
      <c r="T28" s="28" t="s">
        <v>608</v>
      </c>
      <c r="U28" s="28" t="s">
        <v>7337</v>
      </c>
      <c r="V28" s="6" t="s">
        <v>608</v>
      </c>
      <c r="W28" s="19" t="s">
        <v>7338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4773</v>
      </c>
      <c r="B29" s="6" t="s">
        <v>7339</v>
      </c>
      <c r="C29" s="224" t="n">
        <v>240318</v>
      </c>
      <c r="D29" s="222"/>
      <c r="E29" s="222"/>
      <c r="F29" s="28" t="s">
        <v>7330</v>
      </c>
      <c r="G29" s="28" t="s">
        <v>7331</v>
      </c>
      <c r="H29" s="28" t="s">
        <v>167</v>
      </c>
      <c r="I29" s="28" t="s">
        <v>7332</v>
      </c>
      <c r="J29" s="6" t="s">
        <v>7333</v>
      </c>
      <c r="K29" s="222" t="n">
        <v>2</v>
      </c>
      <c r="L29" s="222" t="s">
        <v>6461</v>
      </c>
      <c r="M29" s="6" t="s">
        <v>7334</v>
      </c>
      <c r="N29" s="222" t="s">
        <v>7335</v>
      </c>
      <c r="O29" s="28" t="s">
        <v>6464</v>
      </c>
      <c r="P29" s="28" t="s">
        <v>608</v>
      </c>
      <c r="Q29" s="28" t="s">
        <v>7336</v>
      </c>
      <c r="R29" s="28" t="s">
        <v>608</v>
      </c>
      <c r="S29" s="28" t="s">
        <v>608</v>
      </c>
      <c r="T29" s="28" t="s">
        <v>608</v>
      </c>
      <c r="U29" s="28" t="s">
        <v>7337</v>
      </c>
      <c r="V29" s="6" t="s">
        <v>7340</v>
      </c>
      <c r="W29" s="19" t="s">
        <v>7341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4779</v>
      </c>
      <c r="B30" s="6" t="s">
        <v>7342</v>
      </c>
      <c r="C30" s="224" t="n">
        <v>8064</v>
      </c>
      <c r="D30" s="222"/>
      <c r="E30" s="222"/>
      <c r="F30" s="28" t="s">
        <v>7343</v>
      </c>
      <c r="G30" s="28" t="s">
        <v>7344</v>
      </c>
      <c r="H30" s="28" t="s">
        <v>168</v>
      </c>
      <c r="I30" s="28" t="s">
        <v>7332</v>
      </c>
      <c r="J30" s="6" t="s">
        <v>7333</v>
      </c>
      <c r="K30" s="222" t="n">
        <v>2</v>
      </c>
      <c r="L30" s="222" t="s">
        <v>6461</v>
      </c>
      <c r="M30" s="6" t="s">
        <v>7334</v>
      </c>
      <c r="N30" s="222" t="s">
        <v>7335</v>
      </c>
      <c r="O30" s="28" t="s">
        <v>6464</v>
      </c>
      <c r="P30" s="28" t="s">
        <v>608</v>
      </c>
      <c r="Q30" s="28" t="s">
        <v>7336</v>
      </c>
      <c r="R30" s="28" t="s">
        <v>608</v>
      </c>
      <c r="S30" s="28" t="s">
        <v>608</v>
      </c>
      <c r="T30" s="28" t="s">
        <v>608</v>
      </c>
      <c r="U30" s="28" t="s">
        <v>7337</v>
      </c>
      <c r="V30" s="6" t="s">
        <v>7345</v>
      </c>
      <c r="W30" s="6" t="s">
        <v>608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4776</v>
      </c>
      <c r="B31" s="6" t="s">
        <v>7346</v>
      </c>
      <c r="C31" s="224" t="n">
        <v>652750</v>
      </c>
      <c r="D31" s="222"/>
      <c r="E31" s="222"/>
      <c r="F31" s="28" t="s">
        <v>7330</v>
      </c>
      <c r="G31" s="28" t="s">
        <v>7347</v>
      </c>
      <c r="H31" s="28" t="s">
        <v>169</v>
      </c>
      <c r="I31" s="28" t="s">
        <v>7348</v>
      </c>
      <c r="J31" s="6" t="s">
        <v>7349</v>
      </c>
      <c r="K31" s="222" t="n">
        <v>1</v>
      </c>
      <c r="L31" s="222" t="s">
        <v>6461</v>
      </c>
      <c r="M31" s="6" t="s">
        <v>7350</v>
      </c>
      <c r="N31" s="222" t="s">
        <v>6463</v>
      </c>
      <c r="O31" s="28" t="s">
        <v>6464</v>
      </c>
      <c r="P31" s="28" t="s">
        <v>608</v>
      </c>
      <c r="Q31" s="28" t="s">
        <v>7351</v>
      </c>
      <c r="R31" s="28" t="s">
        <v>608</v>
      </c>
      <c r="S31" s="28" t="s">
        <v>6062</v>
      </c>
      <c r="T31" s="28" t="s">
        <v>608</v>
      </c>
      <c r="U31" s="28" t="s">
        <v>3547</v>
      </c>
      <c r="V31" s="6" t="s">
        <v>7352</v>
      </c>
      <c r="W31" s="19" t="s">
        <v>7353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4770</v>
      </c>
      <c r="B32" s="6" t="s">
        <v>7354</v>
      </c>
      <c r="C32" s="224" t="n">
        <v>253506</v>
      </c>
      <c r="D32" s="222"/>
      <c r="E32" s="222"/>
      <c r="F32" s="28" t="s">
        <v>7330</v>
      </c>
      <c r="G32" s="28" t="s">
        <v>7331</v>
      </c>
      <c r="H32" s="28" t="s">
        <v>168</v>
      </c>
      <c r="I32" s="28" t="s">
        <v>7348</v>
      </c>
      <c r="J32" s="6" t="s">
        <v>7349</v>
      </c>
      <c r="K32" s="222" t="n">
        <v>1</v>
      </c>
      <c r="L32" s="222" t="s">
        <v>6461</v>
      </c>
      <c r="M32" s="6" t="s">
        <v>7350</v>
      </c>
      <c r="N32" s="222" t="s">
        <v>6463</v>
      </c>
      <c r="O32" s="28" t="s">
        <v>6464</v>
      </c>
      <c r="P32" s="28" t="s">
        <v>608</v>
      </c>
      <c r="Q32" s="28" t="s">
        <v>7351</v>
      </c>
      <c r="R32" s="28" t="s">
        <v>608</v>
      </c>
      <c r="S32" s="28" t="s">
        <v>6062</v>
      </c>
      <c r="T32" s="28" t="s">
        <v>608</v>
      </c>
      <c r="U32" s="28" t="s">
        <v>3547</v>
      </c>
      <c r="V32" s="6" t="s">
        <v>7355</v>
      </c>
      <c r="W32" s="19" t="s">
        <v>7356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4736</v>
      </c>
      <c r="B33" s="6" t="s">
        <v>7357</v>
      </c>
      <c r="C33" s="224" t="n">
        <v>800</v>
      </c>
      <c r="D33" s="222"/>
      <c r="E33" s="222"/>
      <c r="F33" s="28" t="s">
        <v>279</v>
      </c>
      <c r="G33" s="222" t="s">
        <v>7358</v>
      </c>
      <c r="H33" s="28" t="s">
        <v>7359</v>
      </c>
      <c r="I33" s="28" t="s">
        <v>7360</v>
      </c>
      <c r="J33" s="6" t="s">
        <v>7361</v>
      </c>
      <c r="K33" s="222" t="n">
        <v>1</v>
      </c>
      <c r="L33" s="222" t="s">
        <v>6568</v>
      </c>
      <c r="M33" s="6" t="s">
        <v>7362</v>
      </c>
      <c r="N33" s="222" t="s">
        <v>7038</v>
      </c>
      <c r="O33" s="28" t="s">
        <v>6464</v>
      </c>
      <c r="P33" s="28" t="s">
        <v>608</v>
      </c>
      <c r="Q33" s="28" t="s">
        <v>7363</v>
      </c>
      <c r="R33" s="28" t="s">
        <v>608</v>
      </c>
      <c r="S33" s="28" t="s">
        <v>608</v>
      </c>
      <c r="T33" s="28" t="s">
        <v>608</v>
      </c>
      <c r="U33" s="28" t="s">
        <v>7364</v>
      </c>
      <c r="V33" s="6" t="s">
        <v>7365</v>
      </c>
      <c r="W33" s="6" t="s">
        <v>608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4740</v>
      </c>
      <c r="B34" s="6" t="s">
        <v>7366</v>
      </c>
      <c r="C34" s="224" t="n">
        <v>3880</v>
      </c>
      <c r="D34" s="222"/>
      <c r="E34" s="222"/>
      <c r="F34" s="28" t="s">
        <v>279</v>
      </c>
      <c r="G34" s="222" t="s">
        <v>7358</v>
      </c>
      <c r="H34" s="28" t="s">
        <v>7359</v>
      </c>
      <c r="I34" s="28" t="s">
        <v>7360</v>
      </c>
      <c r="J34" s="6" t="s">
        <v>7361</v>
      </c>
      <c r="K34" s="222" t="n">
        <v>1</v>
      </c>
      <c r="L34" s="222" t="s">
        <v>6568</v>
      </c>
      <c r="M34" s="6" t="s">
        <v>7362</v>
      </c>
      <c r="N34" s="222" t="s">
        <v>7038</v>
      </c>
      <c r="O34" s="28" t="s">
        <v>6464</v>
      </c>
      <c r="P34" s="28" t="s">
        <v>608</v>
      </c>
      <c r="Q34" s="28" t="s">
        <v>7363</v>
      </c>
      <c r="R34" s="28" t="s">
        <v>608</v>
      </c>
      <c r="S34" s="28" t="s">
        <v>608</v>
      </c>
      <c r="T34" s="28" t="s">
        <v>608</v>
      </c>
      <c r="U34" s="28" t="s">
        <v>7364</v>
      </c>
      <c r="V34" s="6" t="s">
        <v>7367</v>
      </c>
      <c r="W34" s="6" t="s">
        <v>608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4747</v>
      </c>
      <c r="B35" s="6" t="s">
        <v>7368</v>
      </c>
      <c r="C35" s="224" t="n">
        <v>15</v>
      </c>
      <c r="D35" s="222"/>
      <c r="E35" s="222"/>
      <c r="F35" s="28" t="s">
        <v>492</v>
      </c>
      <c r="G35" s="28" t="s">
        <v>7331</v>
      </c>
      <c r="H35" s="28" t="s">
        <v>7359</v>
      </c>
      <c r="I35" s="28" t="s">
        <v>6501</v>
      </c>
      <c r="J35" s="6" t="s">
        <v>7361</v>
      </c>
      <c r="K35" s="222" t="n">
        <v>1</v>
      </c>
      <c r="L35" s="222" t="s">
        <v>6568</v>
      </c>
      <c r="M35" s="6" t="s">
        <v>7362</v>
      </c>
      <c r="N35" s="222" t="s">
        <v>7038</v>
      </c>
      <c r="O35" s="28" t="s">
        <v>6464</v>
      </c>
      <c r="P35" s="28" t="s">
        <v>608</v>
      </c>
      <c r="Q35" s="28" t="s">
        <v>7363</v>
      </c>
      <c r="R35" s="28" t="s">
        <v>608</v>
      </c>
      <c r="S35" s="28" t="s">
        <v>608</v>
      </c>
      <c r="T35" s="28" t="s">
        <v>608</v>
      </c>
      <c r="U35" s="28" t="s">
        <v>7364</v>
      </c>
      <c r="V35" s="6" t="s">
        <v>7369</v>
      </c>
      <c r="W35" s="19" t="s">
        <v>7370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4754</v>
      </c>
      <c r="B36" s="6" t="s">
        <v>7371</v>
      </c>
      <c r="C36" s="224" t="n">
        <v>80</v>
      </c>
      <c r="D36" s="222"/>
      <c r="E36" s="222"/>
      <c r="F36" s="28" t="s">
        <v>492</v>
      </c>
      <c r="G36" s="28" t="s">
        <v>7344</v>
      </c>
      <c r="H36" s="28" t="s">
        <v>7359</v>
      </c>
      <c r="I36" s="28" t="s">
        <v>6501</v>
      </c>
      <c r="J36" s="6" t="s">
        <v>7361</v>
      </c>
      <c r="K36" s="222" t="n">
        <v>1</v>
      </c>
      <c r="L36" s="222" t="s">
        <v>6568</v>
      </c>
      <c r="M36" s="6" t="s">
        <v>7362</v>
      </c>
      <c r="N36" s="222" t="s">
        <v>7038</v>
      </c>
      <c r="O36" s="28" t="s">
        <v>6464</v>
      </c>
      <c r="P36" s="28" t="s">
        <v>608</v>
      </c>
      <c r="Q36" s="28" t="s">
        <v>7363</v>
      </c>
      <c r="R36" s="28" t="s">
        <v>608</v>
      </c>
      <c r="S36" s="28" t="s">
        <v>608</v>
      </c>
      <c r="T36" s="28" t="s">
        <v>608</v>
      </c>
      <c r="U36" s="28" t="s">
        <v>7364</v>
      </c>
      <c r="V36" s="6" t="s">
        <v>7372</v>
      </c>
      <c r="W36" s="19" t="s">
        <v>7373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7374</v>
      </c>
      <c r="B37" s="6" t="s">
        <v>7375</v>
      </c>
      <c r="C37" s="224" t="n">
        <v>1.5</v>
      </c>
      <c r="D37" s="222"/>
      <c r="E37" s="222"/>
      <c r="F37" s="28" t="s">
        <v>362</v>
      </c>
      <c r="G37" s="28" t="s">
        <v>7331</v>
      </c>
      <c r="H37" s="28" t="s">
        <v>7359</v>
      </c>
      <c r="I37" s="28" t="s">
        <v>6501</v>
      </c>
      <c r="J37" s="6" t="s">
        <v>7361</v>
      </c>
      <c r="K37" s="222" t="n">
        <v>1</v>
      </c>
      <c r="L37" s="222" t="s">
        <v>6568</v>
      </c>
      <c r="M37" s="6" t="s">
        <v>7362</v>
      </c>
      <c r="N37" s="222" t="s">
        <v>7038</v>
      </c>
      <c r="O37" s="28" t="s">
        <v>6464</v>
      </c>
      <c r="P37" s="28" t="s">
        <v>608</v>
      </c>
      <c r="Q37" s="28" t="s">
        <v>7363</v>
      </c>
      <c r="R37" s="28" t="s">
        <v>608</v>
      </c>
      <c r="S37" s="28" t="s">
        <v>608</v>
      </c>
      <c r="T37" s="28" t="s">
        <v>608</v>
      </c>
      <c r="U37" s="28" t="s">
        <v>7364</v>
      </c>
      <c r="V37" s="6" t="s">
        <v>608</v>
      </c>
      <c r="W37" s="6" t="s">
        <v>608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7376</v>
      </c>
      <c r="B38" s="6" t="s">
        <v>7377</v>
      </c>
      <c r="C38" s="224" t="n">
        <v>2</v>
      </c>
      <c r="D38" s="222"/>
      <c r="E38" s="222"/>
      <c r="F38" s="28" t="s">
        <v>362</v>
      </c>
      <c r="G38" s="28" t="s">
        <v>7344</v>
      </c>
      <c r="H38" s="28" t="s">
        <v>7359</v>
      </c>
      <c r="I38" s="28" t="s">
        <v>6501</v>
      </c>
      <c r="J38" s="6" t="s">
        <v>7361</v>
      </c>
      <c r="K38" s="222" t="n">
        <v>1</v>
      </c>
      <c r="L38" s="222" t="s">
        <v>6568</v>
      </c>
      <c r="M38" s="6" t="s">
        <v>7362</v>
      </c>
      <c r="N38" s="222" t="s">
        <v>7038</v>
      </c>
      <c r="O38" s="28" t="s">
        <v>6464</v>
      </c>
      <c r="P38" s="28" t="s">
        <v>608</v>
      </c>
      <c r="Q38" s="28" t="s">
        <v>7363</v>
      </c>
      <c r="R38" s="28" t="s">
        <v>608</v>
      </c>
      <c r="S38" s="28" t="s">
        <v>608</v>
      </c>
      <c r="T38" s="28" t="s">
        <v>608</v>
      </c>
      <c r="U38" s="28" t="s">
        <v>7364</v>
      </c>
      <c r="V38" s="6" t="s">
        <v>608</v>
      </c>
      <c r="W38" s="6" t="s">
        <v>608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4432</v>
      </c>
      <c r="B39" s="6" t="s">
        <v>7378</v>
      </c>
      <c r="C39" s="224" t="n">
        <v>3</v>
      </c>
      <c r="D39" s="222"/>
      <c r="E39" s="222"/>
      <c r="F39" s="222" t="s">
        <v>7379</v>
      </c>
      <c r="G39" s="28" t="s">
        <v>7380</v>
      </c>
      <c r="H39" s="28" t="s">
        <v>7359</v>
      </c>
      <c r="I39" s="28" t="s">
        <v>6501</v>
      </c>
      <c r="J39" s="6" t="s">
        <v>7361</v>
      </c>
      <c r="K39" s="222" t="n">
        <v>1</v>
      </c>
      <c r="L39" s="222" t="s">
        <v>6568</v>
      </c>
      <c r="M39" s="6" t="s">
        <v>7362</v>
      </c>
      <c r="N39" s="222" t="s">
        <v>7038</v>
      </c>
      <c r="O39" s="28" t="s">
        <v>6464</v>
      </c>
      <c r="P39" s="28" t="s">
        <v>608</v>
      </c>
      <c r="Q39" s="28" t="s">
        <v>7363</v>
      </c>
      <c r="R39" s="28" t="s">
        <v>608</v>
      </c>
      <c r="S39" s="28" t="s">
        <v>608</v>
      </c>
      <c r="T39" s="28" t="s">
        <v>608</v>
      </c>
      <c r="U39" s="28" t="s">
        <v>7364</v>
      </c>
      <c r="V39" s="6" t="s">
        <v>7381</v>
      </c>
      <c r="W39" s="19" t="s">
        <v>7382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5212</v>
      </c>
      <c r="B40" s="6" t="s">
        <v>7383</v>
      </c>
      <c r="C40" s="222"/>
      <c r="D40" s="224" t="n">
        <v>0.38</v>
      </c>
      <c r="E40" s="224" t="n">
        <v>0.43</v>
      </c>
      <c r="F40" s="28" t="s">
        <v>93</v>
      </c>
      <c r="G40" s="28" t="s">
        <v>7384</v>
      </c>
      <c r="H40" s="28" t="s">
        <v>7385</v>
      </c>
      <c r="I40" s="28" t="s">
        <v>7386</v>
      </c>
      <c r="J40" s="6" t="s">
        <v>7387</v>
      </c>
      <c r="K40" s="222" t="n">
        <v>1</v>
      </c>
      <c r="L40" s="222" t="s">
        <v>6461</v>
      </c>
      <c r="M40" s="6" t="s">
        <v>7388</v>
      </c>
      <c r="N40" s="222" t="s">
        <v>6463</v>
      </c>
      <c r="O40" s="28" t="s">
        <v>6464</v>
      </c>
      <c r="P40" s="28" t="s">
        <v>608</v>
      </c>
      <c r="Q40" s="28" t="s">
        <v>7389</v>
      </c>
      <c r="R40" s="28" t="s">
        <v>608</v>
      </c>
      <c r="S40" s="28" t="s">
        <v>6041</v>
      </c>
      <c r="T40" s="28" t="s">
        <v>608</v>
      </c>
      <c r="U40" s="28" t="s">
        <v>7390</v>
      </c>
      <c r="V40" s="6" t="s">
        <v>608</v>
      </c>
      <c r="W40" s="6" t="s">
        <v>7391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5217</v>
      </c>
      <c r="B41" s="6" t="s">
        <v>7392</v>
      </c>
      <c r="C41" s="224" t="n">
        <v>0.9</v>
      </c>
      <c r="D41" s="222"/>
      <c r="E41" s="222"/>
      <c r="F41" s="28" t="s">
        <v>93</v>
      </c>
      <c r="G41" s="222" t="s">
        <v>7393</v>
      </c>
      <c r="H41" s="28" t="s">
        <v>7385</v>
      </c>
      <c r="I41" s="28" t="s">
        <v>7386</v>
      </c>
      <c r="J41" s="6" t="s">
        <v>7387</v>
      </c>
      <c r="K41" s="222" t="n">
        <v>1</v>
      </c>
      <c r="L41" s="222" t="s">
        <v>6461</v>
      </c>
      <c r="M41" s="6" t="s">
        <v>7388</v>
      </c>
      <c r="N41" s="222" t="s">
        <v>6463</v>
      </c>
      <c r="O41" s="28" t="s">
        <v>6464</v>
      </c>
      <c r="P41" s="28" t="s">
        <v>608</v>
      </c>
      <c r="Q41" s="28" t="s">
        <v>7394</v>
      </c>
      <c r="R41" s="28" t="s">
        <v>608</v>
      </c>
      <c r="S41" s="28" t="s">
        <v>6041</v>
      </c>
      <c r="T41" s="28" t="s">
        <v>608</v>
      </c>
      <c r="U41" s="28" t="s">
        <v>7390</v>
      </c>
      <c r="V41" s="6" t="s">
        <v>7395</v>
      </c>
      <c r="W41" s="19" t="s">
        <v>7396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7397</v>
      </c>
      <c r="B42" s="6" t="s">
        <v>7398</v>
      </c>
      <c r="C42" s="224" t="n">
        <v>2.24</v>
      </c>
      <c r="D42" s="222"/>
      <c r="E42" s="222"/>
      <c r="F42" s="28" t="s">
        <v>97</v>
      </c>
      <c r="G42" s="222" t="s">
        <v>7399</v>
      </c>
      <c r="H42" s="28" t="s">
        <v>7400</v>
      </c>
      <c r="I42" s="28" t="s">
        <v>6596</v>
      </c>
      <c r="J42" s="6" t="s">
        <v>7401</v>
      </c>
      <c r="K42" s="222" t="n">
        <v>1</v>
      </c>
      <c r="L42" s="222" t="s">
        <v>6461</v>
      </c>
      <c r="M42" s="19" t="s">
        <v>7402</v>
      </c>
      <c r="N42" s="222" t="s">
        <v>7038</v>
      </c>
      <c r="O42" s="28" t="s">
        <v>6464</v>
      </c>
      <c r="P42" s="28" t="s">
        <v>608</v>
      </c>
      <c r="Q42" s="28" t="s">
        <v>7403</v>
      </c>
      <c r="R42" s="28" t="s">
        <v>608</v>
      </c>
      <c r="S42" s="28" t="s">
        <v>608</v>
      </c>
      <c r="T42" s="28" t="s">
        <v>608</v>
      </c>
      <c r="U42" s="28" t="s">
        <v>7404</v>
      </c>
      <c r="V42" s="6" t="s">
        <v>608</v>
      </c>
      <c r="W42" s="19" t="s">
        <v>7405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7406</v>
      </c>
      <c r="B43" s="6" t="s">
        <v>7407</v>
      </c>
      <c r="C43" s="224" t="n">
        <v>2.72</v>
      </c>
      <c r="D43" s="222"/>
      <c r="E43" s="222"/>
      <c r="F43" s="28" t="s">
        <v>97</v>
      </c>
      <c r="G43" s="222" t="s">
        <v>7399</v>
      </c>
      <c r="H43" s="28" t="s">
        <v>7400</v>
      </c>
      <c r="I43" s="28" t="s">
        <v>6596</v>
      </c>
      <c r="J43" s="6" t="s">
        <v>7401</v>
      </c>
      <c r="K43" s="222" t="n">
        <v>1</v>
      </c>
      <c r="L43" s="222" t="s">
        <v>6461</v>
      </c>
      <c r="M43" s="19" t="s">
        <v>7402</v>
      </c>
      <c r="N43" s="222" t="s">
        <v>7038</v>
      </c>
      <c r="O43" s="28" t="s">
        <v>6464</v>
      </c>
      <c r="P43" s="28" t="s">
        <v>608</v>
      </c>
      <c r="Q43" s="28" t="s">
        <v>7403</v>
      </c>
      <c r="R43" s="28" t="s">
        <v>608</v>
      </c>
      <c r="S43" s="28" t="s">
        <v>608</v>
      </c>
      <c r="T43" s="28" t="s">
        <v>608</v>
      </c>
      <c r="U43" s="28" t="s">
        <v>7404</v>
      </c>
      <c r="V43" s="6" t="s">
        <v>608</v>
      </c>
      <c r="W43" s="6" t="s">
        <v>608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7408</v>
      </c>
      <c r="B44" s="6" t="s">
        <v>7409</v>
      </c>
      <c r="C44" s="224" t="n">
        <v>2</v>
      </c>
      <c r="D44" s="222"/>
      <c r="E44" s="222"/>
      <c r="F44" s="28" t="s">
        <v>97</v>
      </c>
      <c r="G44" s="222" t="s">
        <v>6549</v>
      </c>
      <c r="H44" s="28" t="s">
        <v>7410</v>
      </c>
      <c r="I44" s="28" t="s">
        <v>6596</v>
      </c>
      <c r="J44" s="6" t="s">
        <v>7401</v>
      </c>
      <c r="K44" s="222" t="n">
        <v>1</v>
      </c>
      <c r="L44" s="222" t="s">
        <v>6461</v>
      </c>
      <c r="M44" s="19" t="s">
        <v>7402</v>
      </c>
      <c r="N44" s="222" t="s">
        <v>7038</v>
      </c>
      <c r="O44" s="28" t="s">
        <v>6464</v>
      </c>
      <c r="P44" s="28" t="s">
        <v>608</v>
      </c>
      <c r="Q44" s="28" t="s">
        <v>7403</v>
      </c>
      <c r="R44" s="28" t="s">
        <v>608</v>
      </c>
      <c r="S44" s="28" t="s">
        <v>608</v>
      </c>
      <c r="T44" s="28" t="s">
        <v>608</v>
      </c>
      <c r="U44" s="28" t="s">
        <v>7404</v>
      </c>
      <c r="V44" s="6" t="s">
        <v>608</v>
      </c>
      <c r="W44" s="6" t="s">
        <v>608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4583</v>
      </c>
      <c r="B45" s="6" t="s">
        <v>7411</v>
      </c>
      <c r="C45" s="224" t="n">
        <v>73700</v>
      </c>
      <c r="D45" s="222"/>
      <c r="E45" s="222"/>
      <c r="F45" s="28" t="s">
        <v>7412</v>
      </c>
      <c r="G45" s="28" t="s">
        <v>7413</v>
      </c>
      <c r="H45" s="28" t="s">
        <v>7414</v>
      </c>
      <c r="I45" s="28" t="s">
        <v>7415</v>
      </c>
      <c r="J45" s="6" t="s">
        <v>7416</v>
      </c>
      <c r="K45" s="222" t="n">
        <v>1</v>
      </c>
      <c r="L45" s="222" t="s">
        <v>6461</v>
      </c>
      <c r="M45" s="6" t="s">
        <v>7417</v>
      </c>
      <c r="N45" s="222" t="s">
        <v>7038</v>
      </c>
      <c r="O45" s="28" t="s">
        <v>6464</v>
      </c>
      <c r="P45" s="28" t="s">
        <v>608</v>
      </c>
      <c r="Q45" s="28" t="s">
        <v>7418</v>
      </c>
      <c r="R45" s="28" t="s">
        <v>608</v>
      </c>
      <c r="S45" s="28" t="s">
        <v>608</v>
      </c>
      <c r="T45" s="28" t="s">
        <v>608</v>
      </c>
      <c r="U45" s="28" t="s">
        <v>7326</v>
      </c>
      <c r="V45" s="19" t="s">
        <v>7419</v>
      </c>
      <c r="W45" s="19" t="s">
        <v>7420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7421</v>
      </c>
      <c r="AB45" s="28" t="s">
        <v>7422</v>
      </c>
      <c r="AG45" s="222" t="s">
        <v>7423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4654</v>
      </c>
      <c r="B46" s="6" t="s">
        <v>7424</v>
      </c>
      <c r="C46" s="224" t="n">
        <v>14800</v>
      </c>
      <c r="D46" s="222"/>
      <c r="E46" s="222"/>
      <c r="F46" s="28" t="s">
        <v>7412</v>
      </c>
      <c r="G46" s="28" t="s">
        <v>7425</v>
      </c>
      <c r="H46" s="28" t="s">
        <v>7414</v>
      </c>
      <c r="I46" s="28" t="s">
        <v>7415</v>
      </c>
      <c r="J46" s="6" t="s">
        <v>7416</v>
      </c>
      <c r="K46" s="222" t="n">
        <v>1</v>
      </c>
      <c r="L46" s="222" t="s">
        <v>6461</v>
      </c>
      <c r="M46" s="6" t="s">
        <v>7417</v>
      </c>
      <c r="N46" s="222" t="s">
        <v>7038</v>
      </c>
      <c r="O46" s="28" t="s">
        <v>6464</v>
      </c>
      <c r="P46" s="28" t="s">
        <v>608</v>
      </c>
      <c r="Q46" s="28" t="s">
        <v>7418</v>
      </c>
      <c r="R46" s="28" t="s">
        <v>608</v>
      </c>
      <c r="S46" s="28" t="s">
        <v>608</v>
      </c>
      <c r="T46" s="28" t="s">
        <v>608</v>
      </c>
      <c r="U46" s="28" t="s">
        <v>7326</v>
      </c>
      <c r="V46" s="19" t="s">
        <v>7426</v>
      </c>
      <c r="W46" s="19" t="s">
        <v>7427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7421</v>
      </c>
      <c r="AB46" s="28" t="s">
        <v>7422</v>
      </c>
      <c r="AG46" s="222" t="s">
        <v>7428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7429</v>
      </c>
      <c r="B47" s="6" t="s">
        <v>7430</v>
      </c>
      <c r="C47" s="224" t="n">
        <v>608</v>
      </c>
      <c r="D47" s="222"/>
      <c r="E47" s="222"/>
      <c r="F47" s="28" t="s">
        <v>7431</v>
      </c>
      <c r="G47" s="28" t="s">
        <v>7432</v>
      </c>
      <c r="H47" s="28" t="s">
        <v>7414</v>
      </c>
      <c r="I47" s="28" t="s">
        <v>7415</v>
      </c>
      <c r="J47" s="6" t="s">
        <v>7416</v>
      </c>
      <c r="K47" s="222" t="n">
        <v>1</v>
      </c>
      <c r="L47" s="222" t="s">
        <v>6461</v>
      </c>
      <c r="M47" s="6" t="s">
        <v>7417</v>
      </c>
      <c r="N47" s="222" t="s">
        <v>7038</v>
      </c>
      <c r="O47" s="28" t="s">
        <v>6464</v>
      </c>
      <c r="P47" s="28" t="s">
        <v>608</v>
      </c>
      <c r="Q47" s="28" t="s">
        <v>7418</v>
      </c>
      <c r="R47" s="28" t="s">
        <v>608</v>
      </c>
      <c r="S47" s="28" t="s">
        <v>608</v>
      </c>
      <c r="T47" s="28" t="s">
        <v>608</v>
      </c>
      <c r="U47" s="28" t="s">
        <v>7326</v>
      </c>
      <c r="V47" s="6" t="s">
        <v>608</v>
      </c>
      <c r="W47" s="6" t="s">
        <v>608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7433</v>
      </c>
      <c r="B48" s="6" t="s">
        <v>7434</v>
      </c>
      <c r="C48" s="224" t="n">
        <v>0.563</v>
      </c>
      <c r="D48" s="222"/>
      <c r="E48" s="222"/>
      <c r="F48" s="28" t="s">
        <v>93</v>
      </c>
      <c r="G48" s="28" t="s">
        <v>7435</v>
      </c>
      <c r="H48" s="28" t="s">
        <v>7414</v>
      </c>
      <c r="I48" s="28" t="s">
        <v>7415</v>
      </c>
      <c r="J48" s="6" t="s">
        <v>7416</v>
      </c>
      <c r="K48" s="222" t="n">
        <v>1</v>
      </c>
      <c r="L48" s="222" t="s">
        <v>6461</v>
      </c>
      <c r="M48" s="6" t="s">
        <v>7417</v>
      </c>
      <c r="N48" s="222" t="s">
        <v>7038</v>
      </c>
      <c r="O48" s="28" t="s">
        <v>6464</v>
      </c>
      <c r="P48" s="28" t="s">
        <v>608</v>
      </c>
      <c r="Q48" s="28" t="s">
        <v>7418</v>
      </c>
      <c r="R48" s="28" t="s">
        <v>608</v>
      </c>
      <c r="S48" s="28" t="s">
        <v>608</v>
      </c>
      <c r="T48" s="28" t="s">
        <v>608</v>
      </c>
      <c r="U48" s="28" t="s">
        <v>7326</v>
      </c>
      <c r="V48" s="19" t="s">
        <v>7436</v>
      </c>
      <c r="W48" s="19" t="s">
        <v>7437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7438</v>
      </c>
      <c r="B49" s="6" t="s">
        <v>7439</v>
      </c>
      <c r="C49" s="224" t="n">
        <v>168</v>
      </c>
      <c r="D49" s="222"/>
      <c r="E49" s="222"/>
      <c r="F49" s="28" t="s">
        <v>7431</v>
      </c>
      <c r="G49" s="28" t="s">
        <v>7432</v>
      </c>
      <c r="H49" s="28" t="s">
        <v>7414</v>
      </c>
      <c r="I49" s="28" t="s">
        <v>7415</v>
      </c>
      <c r="J49" s="6" t="s">
        <v>7416</v>
      </c>
      <c r="K49" s="222" t="n">
        <v>1</v>
      </c>
      <c r="L49" s="222" t="s">
        <v>6461</v>
      </c>
      <c r="M49" s="6" t="s">
        <v>7417</v>
      </c>
      <c r="N49" s="222" t="s">
        <v>7038</v>
      </c>
      <c r="O49" s="28" t="s">
        <v>6464</v>
      </c>
      <c r="P49" s="28" t="s">
        <v>608</v>
      </c>
      <c r="Q49" s="28" t="s">
        <v>7418</v>
      </c>
      <c r="R49" s="28" t="s">
        <v>608</v>
      </c>
      <c r="S49" s="28" t="s">
        <v>608</v>
      </c>
      <c r="T49" s="28" t="s">
        <v>608</v>
      </c>
      <c r="U49" s="28" t="s">
        <v>7326</v>
      </c>
      <c r="V49" s="6" t="s">
        <v>608</v>
      </c>
      <c r="W49" s="6" t="s">
        <v>608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7440</v>
      </c>
      <c r="B50" s="6" t="s">
        <v>7441</v>
      </c>
      <c r="C50" s="222"/>
      <c r="D50" s="224" t="n">
        <v>20</v>
      </c>
      <c r="E50" s="224" t="n">
        <v>22</v>
      </c>
      <c r="F50" s="28" t="s">
        <v>359</v>
      </c>
      <c r="G50" s="28" t="s">
        <v>7432</v>
      </c>
      <c r="H50" s="28" t="s">
        <v>7414</v>
      </c>
      <c r="I50" s="28" t="s">
        <v>7415</v>
      </c>
      <c r="J50" s="6" t="s">
        <v>7416</v>
      </c>
      <c r="K50" s="222" t="n">
        <v>1</v>
      </c>
      <c r="L50" s="222" t="s">
        <v>6461</v>
      </c>
      <c r="M50" s="6" t="s">
        <v>7417</v>
      </c>
      <c r="N50" s="222" t="s">
        <v>7038</v>
      </c>
      <c r="O50" s="28" t="s">
        <v>6464</v>
      </c>
      <c r="P50" s="28" t="s">
        <v>608</v>
      </c>
      <c r="Q50" s="28" t="s">
        <v>7418</v>
      </c>
      <c r="R50" s="28" t="s">
        <v>608</v>
      </c>
      <c r="S50" s="28" t="s">
        <v>608</v>
      </c>
      <c r="T50" s="28" t="s">
        <v>608</v>
      </c>
      <c r="U50" s="28" t="s">
        <v>7326</v>
      </c>
      <c r="V50" s="19" t="s">
        <v>7442</v>
      </c>
      <c r="W50" s="19" t="s">
        <v>7443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7444</v>
      </c>
      <c r="B51" s="6" t="s">
        <v>7445</v>
      </c>
      <c r="C51" s="224" t="n">
        <v>4989</v>
      </c>
      <c r="D51" s="222"/>
      <c r="E51" s="222"/>
      <c r="F51" s="28" t="s">
        <v>279</v>
      </c>
      <c r="G51" s="28" t="s">
        <v>7432</v>
      </c>
      <c r="H51" s="28" t="s">
        <v>7414</v>
      </c>
      <c r="I51" s="28" t="s">
        <v>7415</v>
      </c>
      <c r="J51" s="6" t="s">
        <v>7416</v>
      </c>
      <c r="K51" s="222" t="n">
        <v>1</v>
      </c>
      <c r="L51" s="222" t="s">
        <v>6461</v>
      </c>
      <c r="M51" s="6" t="s">
        <v>7417</v>
      </c>
      <c r="N51" s="222" t="s">
        <v>7038</v>
      </c>
      <c r="O51" s="28" t="s">
        <v>6464</v>
      </c>
      <c r="P51" s="28" t="s">
        <v>608</v>
      </c>
      <c r="Q51" s="28" t="s">
        <v>7418</v>
      </c>
      <c r="R51" s="28" t="s">
        <v>608</v>
      </c>
      <c r="S51" s="28" t="s">
        <v>608</v>
      </c>
      <c r="T51" s="28" t="s">
        <v>608</v>
      </c>
      <c r="U51" s="28" t="s">
        <v>7326</v>
      </c>
      <c r="V51" s="6" t="s">
        <v>608</v>
      </c>
      <c r="W51" s="6" t="s">
        <v>608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7446</v>
      </c>
      <c r="B52" s="6" t="s">
        <v>7447</v>
      </c>
      <c r="C52" s="224" t="n">
        <v>278</v>
      </c>
      <c r="D52" s="222"/>
      <c r="E52" s="222"/>
      <c r="F52" s="222" t="s">
        <v>7448</v>
      </c>
      <c r="G52" s="28" t="s">
        <v>7449</v>
      </c>
      <c r="H52" s="28" t="s">
        <v>7414</v>
      </c>
      <c r="I52" s="28" t="s">
        <v>7415</v>
      </c>
      <c r="J52" s="6" t="s">
        <v>7416</v>
      </c>
      <c r="K52" s="222" t="n">
        <v>1</v>
      </c>
      <c r="L52" s="222" t="s">
        <v>6461</v>
      </c>
      <c r="M52" s="6" t="s">
        <v>7417</v>
      </c>
      <c r="N52" s="222" t="s">
        <v>7038</v>
      </c>
      <c r="O52" s="28" t="s">
        <v>6464</v>
      </c>
      <c r="P52" s="28" t="s">
        <v>608</v>
      </c>
      <c r="Q52" s="28" t="s">
        <v>7418</v>
      </c>
      <c r="R52" s="28" t="s">
        <v>608</v>
      </c>
      <c r="S52" s="28" t="s">
        <v>608</v>
      </c>
      <c r="T52" s="28" t="s">
        <v>608</v>
      </c>
      <c r="U52" s="28" t="s">
        <v>7326</v>
      </c>
      <c r="V52" s="6" t="s">
        <v>608</v>
      </c>
      <c r="W52" s="19" t="s">
        <v>7450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7451</v>
      </c>
      <c r="B53" s="6" t="s">
        <v>7452</v>
      </c>
      <c r="C53" s="224" t="n">
        <v>226.75</v>
      </c>
      <c r="D53" s="222"/>
      <c r="E53" s="222"/>
      <c r="F53" s="222" t="s">
        <v>7448</v>
      </c>
      <c r="G53" s="28" t="s">
        <v>7449</v>
      </c>
      <c r="H53" s="28" t="s">
        <v>7414</v>
      </c>
      <c r="I53" s="28" t="s">
        <v>7415</v>
      </c>
      <c r="J53" s="6" t="s">
        <v>7416</v>
      </c>
      <c r="K53" s="222" t="n">
        <v>1</v>
      </c>
      <c r="L53" s="222" t="s">
        <v>6461</v>
      </c>
      <c r="M53" s="6" t="s">
        <v>7417</v>
      </c>
      <c r="N53" s="222" t="s">
        <v>7038</v>
      </c>
      <c r="O53" s="28" t="s">
        <v>6464</v>
      </c>
      <c r="P53" s="28" t="s">
        <v>608</v>
      </c>
      <c r="Q53" s="28" t="s">
        <v>7418</v>
      </c>
      <c r="R53" s="28" t="s">
        <v>608</v>
      </c>
      <c r="S53" s="28" t="s">
        <v>608</v>
      </c>
      <c r="T53" s="28" t="s">
        <v>608</v>
      </c>
      <c r="U53" s="28" t="s">
        <v>7326</v>
      </c>
      <c r="V53" s="6" t="s">
        <v>608</v>
      </c>
      <c r="W53" s="6" t="s">
        <v>608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7453</v>
      </c>
      <c r="B54" s="6" t="s">
        <v>7454</v>
      </c>
      <c r="C54" s="224" t="n">
        <v>4</v>
      </c>
      <c r="D54" s="222"/>
      <c r="E54" s="222"/>
      <c r="F54" s="222" t="s">
        <v>7448</v>
      </c>
      <c r="G54" s="28" t="s">
        <v>7455</v>
      </c>
      <c r="H54" s="28" t="s">
        <v>7414</v>
      </c>
      <c r="I54" s="28" t="s">
        <v>7415</v>
      </c>
      <c r="J54" s="6" t="s">
        <v>7416</v>
      </c>
      <c r="K54" s="222" t="n">
        <v>1</v>
      </c>
      <c r="L54" s="222" t="s">
        <v>6461</v>
      </c>
      <c r="M54" s="6" t="s">
        <v>7417</v>
      </c>
      <c r="N54" s="222" t="s">
        <v>7038</v>
      </c>
      <c r="O54" s="28" t="s">
        <v>6464</v>
      </c>
      <c r="P54" s="28" t="s">
        <v>608</v>
      </c>
      <c r="Q54" s="28" t="s">
        <v>7418</v>
      </c>
      <c r="R54" s="28" t="s">
        <v>608</v>
      </c>
      <c r="S54" s="28" t="s">
        <v>608</v>
      </c>
      <c r="T54" s="28" t="s">
        <v>608</v>
      </c>
      <c r="U54" s="28" t="s">
        <v>7326</v>
      </c>
      <c r="V54" s="19" t="s">
        <v>7456</v>
      </c>
      <c r="W54" s="19" t="s">
        <v>7457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4202</v>
      </c>
      <c r="B55" s="6" t="s">
        <v>7458</v>
      </c>
      <c r="C55" s="224" t="n">
        <v>18</v>
      </c>
      <c r="D55" s="222"/>
      <c r="E55" s="222"/>
      <c r="F55" s="222" t="s">
        <v>7448</v>
      </c>
      <c r="G55" s="28" t="s">
        <v>7459</v>
      </c>
      <c r="H55" s="28" t="s">
        <v>7414</v>
      </c>
      <c r="I55" s="28" t="s">
        <v>7415</v>
      </c>
      <c r="J55" s="6" t="s">
        <v>7416</v>
      </c>
      <c r="K55" s="222" t="n">
        <v>1</v>
      </c>
      <c r="L55" s="222" t="s">
        <v>6461</v>
      </c>
      <c r="M55" s="6" t="s">
        <v>7417</v>
      </c>
      <c r="N55" s="222" t="s">
        <v>7038</v>
      </c>
      <c r="O55" s="28" t="s">
        <v>6464</v>
      </c>
      <c r="P55" s="28" t="s">
        <v>608</v>
      </c>
      <c r="Q55" s="28" t="s">
        <v>7418</v>
      </c>
      <c r="R55" s="28" t="s">
        <v>608</v>
      </c>
      <c r="S55" s="28" t="s">
        <v>608</v>
      </c>
      <c r="T55" s="28" t="s">
        <v>608</v>
      </c>
      <c r="U55" s="28" t="s">
        <v>7326</v>
      </c>
      <c r="V55" s="19" t="s">
        <v>7460</v>
      </c>
      <c r="W55" s="19" t="s">
        <v>7461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7462</v>
      </c>
      <c r="B56" s="6" t="s">
        <v>7463</v>
      </c>
      <c r="C56" s="224" t="n">
        <v>558802.8</v>
      </c>
      <c r="D56" s="222"/>
      <c r="E56" s="222"/>
      <c r="F56" s="28" t="s">
        <v>7464</v>
      </c>
      <c r="G56" s="28" t="s">
        <v>7465</v>
      </c>
      <c r="H56" s="28" t="s">
        <v>7466</v>
      </c>
      <c r="I56" s="28" t="s">
        <v>7467</v>
      </c>
      <c r="J56" s="6" t="s">
        <v>7349</v>
      </c>
      <c r="K56" s="222" t="n">
        <v>1</v>
      </c>
      <c r="L56" s="222" t="s">
        <v>6461</v>
      </c>
      <c r="M56" s="6" t="s">
        <v>7468</v>
      </c>
      <c r="N56" s="222" t="s">
        <v>6463</v>
      </c>
      <c r="O56" s="28" t="s">
        <v>6464</v>
      </c>
      <c r="P56" s="28" t="s">
        <v>608</v>
      </c>
      <c r="Q56" s="28" t="s">
        <v>7469</v>
      </c>
      <c r="R56" s="28" t="s">
        <v>5484</v>
      </c>
      <c r="S56" s="28" t="s">
        <v>608</v>
      </c>
      <c r="T56" s="28" t="s">
        <v>608</v>
      </c>
      <c r="U56" s="28" t="s">
        <v>7470</v>
      </c>
      <c r="V56" s="6" t="s">
        <v>608</v>
      </c>
      <c r="W56" s="6" t="s">
        <v>7471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7472</v>
      </c>
      <c r="B57" s="6" t="s">
        <v>7473</v>
      </c>
      <c r="C57" s="224" t="n">
        <v>591368.3</v>
      </c>
      <c r="D57" s="222"/>
      <c r="E57" s="222"/>
      <c r="F57" s="28" t="s">
        <v>7464</v>
      </c>
      <c r="G57" s="28" t="s">
        <v>7474</v>
      </c>
      <c r="H57" s="28" t="s">
        <v>7466</v>
      </c>
      <c r="I57" s="28" t="s">
        <v>7467</v>
      </c>
      <c r="J57" s="6" t="s">
        <v>7349</v>
      </c>
      <c r="K57" s="222" t="n">
        <v>1</v>
      </c>
      <c r="L57" s="222" t="s">
        <v>6461</v>
      </c>
      <c r="M57" s="6" t="s">
        <v>7468</v>
      </c>
      <c r="N57" s="222" t="s">
        <v>6463</v>
      </c>
      <c r="O57" s="28" t="s">
        <v>6464</v>
      </c>
      <c r="P57" s="28" t="s">
        <v>608</v>
      </c>
      <c r="Q57" s="28" t="s">
        <v>7469</v>
      </c>
      <c r="R57" s="28" t="s">
        <v>7475</v>
      </c>
      <c r="S57" s="28" t="s">
        <v>608</v>
      </c>
      <c r="T57" s="28" t="s">
        <v>608</v>
      </c>
      <c r="U57" s="28" t="s">
        <v>7470</v>
      </c>
      <c r="V57" s="6" t="s">
        <v>608</v>
      </c>
      <c r="W57" s="6" t="s">
        <v>7471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7476</v>
      </c>
      <c r="B58" s="6" t="s">
        <v>7477</v>
      </c>
      <c r="C58" s="224" t="n">
        <v>689961</v>
      </c>
      <c r="D58" s="222"/>
      <c r="E58" s="222"/>
      <c r="F58" s="28" t="s">
        <v>7330</v>
      </c>
      <c r="G58" s="28" t="s">
        <v>7478</v>
      </c>
      <c r="H58" s="28" t="s">
        <v>7479</v>
      </c>
      <c r="I58" s="28" t="s">
        <v>7467</v>
      </c>
      <c r="J58" s="6" t="s">
        <v>7349</v>
      </c>
      <c r="K58" s="222" t="n">
        <v>1</v>
      </c>
      <c r="L58" s="222" t="s">
        <v>6461</v>
      </c>
      <c r="M58" s="6" t="s">
        <v>7480</v>
      </c>
      <c r="N58" s="222" t="s">
        <v>6463</v>
      </c>
      <c r="O58" s="28" t="s">
        <v>6464</v>
      </c>
      <c r="P58" s="28" t="s">
        <v>608</v>
      </c>
      <c r="Q58" s="28" t="s">
        <v>7469</v>
      </c>
      <c r="R58" s="28" t="s">
        <v>7481</v>
      </c>
      <c r="S58" s="28" t="s">
        <v>608</v>
      </c>
      <c r="T58" s="28" t="s">
        <v>608</v>
      </c>
      <c r="U58" s="28" t="s">
        <v>7470</v>
      </c>
      <c r="V58" s="6" t="s">
        <v>608</v>
      </c>
      <c r="W58" s="6" t="s">
        <v>7482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7483</v>
      </c>
      <c r="B59" s="6" t="s">
        <v>7484</v>
      </c>
      <c r="C59" s="224" t="n">
        <v>603023</v>
      </c>
      <c r="D59" s="222"/>
      <c r="E59" s="222"/>
      <c r="F59" s="28" t="s">
        <v>7330</v>
      </c>
      <c r="G59" s="28" t="s">
        <v>7485</v>
      </c>
      <c r="H59" s="28" t="s">
        <v>7479</v>
      </c>
      <c r="I59" s="28" t="s">
        <v>7467</v>
      </c>
      <c r="J59" s="6" t="s">
        <v>7349</v>
      </c>
      <c r="K59" s="222" t="n">
        <v>1</v>
      </c>
      <c r="L59" s="222" t="s">
        <v>6461</v>
      </c>
      <c r="M59" s="6" t="s">
        <v>7480</v>
      </c>
      <c r="N59" s="222" t="s">
        <v>6463</v>
      </c>
      <c r="O59" s="28" t="s">
        <v>6464</v>
      </c>
      <c r="P59" s="28" t="s">
        <v>608</v>
      </c>
      <c r="Q59" s="28" t="s">
        <v>7469</v>
      </c>
      <c r="R59" s="28" t="s">
        <v>7486</v>
      </c>
      <c r="S59" s="28" t="s">
        <v>608</v>
      </c>
      <c r="T59" s="28" t="s">
        <v>608</v>
      </c>
      <c r="U59" s="28" t="s">
        <v>7470</v>
      </c>
      <c r="V59" s="6" t="s">
        <v>608</v>
      </c>
      <c r="W59" s="6" t="s">
        <v>7482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5484</v>
      </c>
      <c r="B60" s="6" t="s">
        <v>7487</v>
      </c>
      <c r="C60" s="224" t="n">
        <v>1183326.9</v>
      </c>
      <c r="D60" s="222"/>
      <c r="E60" s="222"/>
      <c r="F60" s="28" t="s">
        <v>7330</v>
      </c>
      <c r="G60" s="28" t="s">
        <v>7465</v>
      </c>
      <c r="H60" s="28" t="s">
        <v>7488</v>
      </c>
      <c r="I60" s="28" t="s">
        <v>7467</v>
      </c>
      <c r="J60" s="6" t="s">
        <v>7349</v>
      </c>
      <c r="K60" s="222" t="n">
        <v>1</v>
      </c>
      <c r="L60" s="222" t="s">
        <v>6461</v>
      </c>
      <c r="M60" s="6" t="s">
        <v>7468</v>
      </c>
      <c r="N60" s="222" t="s">
        <v>6463</v>
      </c>
      <c r="O60" s="28" t="s">
        <v>6464</v>
      </c>
      <c r="P60" s="28" t="s">
        <v>608</v>
      </c>
      <c r="Q60" s="28" t="s">
        <v>7469</v>
      </c>
      <c r="R60" s="28" t="s">
        <v>7462</v>
      </c>
      <c r="S60" s="28" t="s">
        <v>608</v>
      </c>
      <c r="T60" s="28" t="s">
        <v>608</v>
      </c>
      <c r="U60" s="28" t="s">
        <v>7470</v>
      </c>
      <c r="V60" s="6" t="s">
        <v>608</v>
      </c>
      <c r="W60" s="6" t="s">
        <v>7489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7475</v>
      </c>
      <c r="B61" s="6" t="s">
        <v>7490</v>
      </c>
      <c r="C61" s="224" t="n">
        <v>1175890.2</v>
      </c>
      <c r="D61" s="222"/>
      <c r="E61" s="222"/>
      <c r="F61" s="28" t="s">
        <v>7330</v>
      </c>
      <c r="G61" s="28" t="s">
        <v>7474</v>
      </c>
      <c r="H61" s="28" t="s">
        <v>7488</v>
      </c>
      <c r="I61" s="28" t="s">
        <v>7467</v>
      </c>
      <c r="J61" s="6" t="s">
        <v>7349</v>
      </c>
      <c r="K61" s="222" t="n">
        <v>1</v>
      </c>
      <c r="L61" s="222" t="s">
        <v>6461</v>
      </c>
      <c r="M61" s="6" t="s">
        <v>7468</v>
      </c>
      <c r="N61" s="222" t="s">
        <v>6463</v>
      </c>
      <c r="O61" s="28" t="s">
        <v>6464</v>
      </c>
      <c r="P61" s="28" t="s">
        <v>608</v>
      </c>
      <c r="Q61" s="28" t="s">
        <v>7469</v>
      </c>
      <c r="R61" s="28" t="s">
        <v>7472</v>
      </c>
      <c r="S61" s="28" t="s">
        <v>608</v>
      </c>
      <c r="T61" s="28" t="s">
        <v>608</v>
      </c>
      <c r="U61" s="28" t="s">
        <v>7470</v>
      </c>
      <c r="V61" s="6" t="s">
        <v>608</v>
      </c>
      <c r="W61" s="6" t="s">
        <v>7489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7481</v>
      </c>
      <c r="B62" s="6" t="s">
        <v>7491</v>
      </c>
      <c r="C62" s="224" t="n">
        <v>679740</v>
      </c>
      <c r="D62" s="222"/>
      <c r="E62" s="222"/>
      <c r="F62" s="28" t="s">
        <v>7330</v>
      </c>
      <c r="G62" s="28" t="s">
        <v>7478</v>
      </c>
      <c r="H62" s="28" t="s">
        <v>7492</v>
      </c>
      <c r="I62" s="28" t="s">
        <v>7467</v>
      </c>
      <c r="J62" s="6" t="s">
        <v>7349</v>
      </c>
      <c r="K62" s="222" t="n">
        <v>1</v>
      </c>
      <c r="L62" s="222" t="s">
        <v>6461</v>
      </c>
      <c r="M62" s="6" t="s">
        <v>7480</v>
      </c>
      <c r="N62" s="222" t="s">
        <v>6463</v>
      </c>
      <c r="O62" s="28" t="s">
        <v>6464</v>
      </c>
      <c r="P62" s="28" t="s">
        <v>608</v>
      </c>
      <c r="Q62" s="28" t="s">
        <v>7469</v>
      </c>
      <c r="R62" s="28" t="s">
        <v>7476</v>
      </c>
      <c r="S62" s="28" t="s">
        <v>608</v>
      </c>
      <c r="T62" s="28" t="s">
        <v>608</v>
      </c>
      <c r="U62" s="28" t="s">
        <v>7470</v>
      </c>
      <c r="V62" s="6" t="s">
        <v>608</v>
      </c>
      <c r="W62" s="6" t="s">
        <v>7493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7486</v>
      </c>
      <c r="B63" s="6" t="s">
        <v>7494</v>
      </c>
      <c r="C63" s="224" t="n">
        <v>596944</v>
      </c>
      <c r="D63" s="222"/>
      <c r="E63" s="222"/>
      <c r="F63" s="28" t="s">
        <v>7330</v>
      </c>
      <c r="G63" s="28" t="s">
        <v>7485</v>
      </c>
      <c r="H63" s="28" t="s">
        <v>7492</v>
      </c>
      <c r="I63" s="28" t="s">
        <v>7467</v>
      </c>
      <c r="J63" s="6" t="s">
        <v>7349</v>
      </c>
      <c r="K63" s="222" t="n">
        <v>1</v>
      </c>
      <c r="L63" s="222" t="s">
        <v>6461</v>
      </c>
      <c r="M63" s="6" t="s">
        <v>7480</v>
      </c>
      <c r="N63" s="222" t="s">
        <v>6463</v>
      </c>
      <c r="O63" s="28" t="s">
        <v>6464</v>
      </c>
      <c r="P63" s="28" t="s">
        <v>608</v>
      </c>
      <c r="Q63" s="28" t="s">
        <v>7469</v>
      </c>
      <c r="R63" s="28" t="s">
        <v>7483</v>
      </c>
      <c r="S63" s="28" t="s">
        <v>608</v>
      </c>
      <c r="T63" s="28" t="s">
        <v>608</v>
      </c>
      <c r="U63" s="28" t="s">
        <v>7470</v>
      </c>
      <c r="V63" s="6" t="s">
        <v>608</v>
      </c>
      <c r="W63" s="6" t="s">
        <v>7493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9" t="s">
        <v>7495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7496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1" t="s">
        <v>7497</v>
      </c>
      <c r="Y4" s="221" t="s">
        <v>7498</v>
      </c>
      <c r="Z4" s="221" t="s">
        <v>7499</v>
      </c>
      <c r="AA4" s="221" t="s">
        <v>7500</v>
      </c>
      <c r="AB4" s="221" t="s">
        <v>7501</v>
      </c>
      <c r="AC4" s="220" t="s">
        <v>6451</v>
      </c>
      <c r="AD4" s="220" t="s">
        <v>6452</v>
      </c>
      <c r="AE4" s="220" t="s">
        <v>6453</v>
      </c>
      <c r="AM4" s="81" t="s">
        <v>6454</v>
      </c>
    </row>
    <row r="5" customFormat="false" ht="29.25" hidden="false" customHeight="true" outlineLevel="0" collapsed="false">
      <c r="A5" s="28" t="s">
        <v>2847</v>
      </c>
      <c r="B5" s="6" t="s">
        <v>7502</v>
      </c>
      <c r="C5" s="224" t="n">
        <v>42</v>
      </c>
      <c r="D5" s="222"/>
      <c r="E5" s="222"/>
      <c r="F5" s="28" t="s">
        <v>7503</v>
      </c>
      <c r="G5" s="222" t="s">
        <v>7504</v>
      </c>
      <c r="H5" s="28" t="s">
        <v>7505</v>
      </c>
      <c r="I5" s="28" t="s">
        <v>6566</v>
      </c>
      <c r="J5" s="6" t="s">
        <v>7506</v>
      </c>
      <c r="K5" s="222" t="n">
        <v>3</v>
      </c>
      <c r="L5" s="222" t="s">
        <v>6461</v>
      </c>
      <c r="M5" s="6" t="s">
        <v>7507</v>
      </c>
      <c r="N5" s="222" t="s">
        <v>6474</v>
      </c>
      <c r="O5" s="28" t="s">
        <v>6464</v>
      </c>
      <c r="P5" s="28" t="s">
        <v>608</v>
      </c>
      <c r="Q5" s="28" t="s">
        <v>7508</v>
      </c>
      <c r="R5" s="28" t="s">
        <v>608</v>
      </c>
      <c r="S5" s="28" t="s">
        <v>608</v>
      </c>
      <c r="T5" s="28" t="s">
        <v>608</v>
      </c>
      <c r="U5" s="28" t="s">
        <v>7509</v>
      </c>
      <c r="V5" s="6" t="s">
        <v>7510</v>
      </c>
      <c r="W5" s="6" t="s">
        <v>7511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2854</v>
      </c>
      <c r="B6" s="19" t="s">
        <v>7512</v>
      </c>
      <c r="C6" s="224" t="n">
        <v>3.57</v>
      </c>
      <c r="D6" s="222"/>
      <c r="E6" s="222"/>
      <c r="F6" s="28" t="s">
        <v>840</v>
      </c>
      <c r="G6" s="28" t="s">
        <v>7513</v>
      </c>
      <c r="H6" s="222" t="s">
        <v>7514</v>
      </c>
      <c r="I6" s="28" t="s">
        <v>1211</v>
      </c>
      <c r="J6" s="6" t="s">
        <v>7515</v>
      </c>
      <c r="K6" s="222" t="n">
        <v>2</v>
      </c>
      <c r="L6" s="222" t="s">
        <v>6568</v>
      </c>
      <c r="M6" s="19" t="s">
        <v>7516</v>
      </c>
      <c r="N6" s="222" t="s">
        <v>7517</v>
      </c>
      <c r="O6" s="28" t="s">
        <v>6464</v>
      </c>
      <c r="P6" s="28" t="s">
        <v>608</v>
      </c>
      <c r="Q6" s="28" t="s">
        <v>7518</v>
      </c>
      <c r="R6" s="28" t="s">
        <v>608</v>
      </c>
      <c r="S6" s="28" t="s">
        <v>608</v>
      </c>
      <c r="T6" s="28" t="s">
        <v>608</v>
      </c>
      <c r="U6" s="28" t="s">
        <v>7519</v>
      </c>
      <c r="V6" s="6" t="s">
        <v>7520</v>
      </c>
      <c r="W6" s="19" t="s">
        <v>7521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7522</v>
      </c>
      <c r="B7" s="6" t="s">
        <v>7523</v>
      </c>
      <c r="C7" s="224" t="n">
        <v>0.1</v>
      </c>
      <c r="D7" s="222"/>
      <c r="E7" s="222"/>
      <c r="F7" s="28" t="s">
        <v>795</v>
      </c>
      <c r="G7" s="28" t="s">
        <v>7524</v>
      </c>
      <c r="H7" s="28" t="s">
        <v>1198</v>
      </c>
      <c r="I7" s="28" t="s">
        <v>1202</v>
      </c>
      <c r="J7" s="6" t="s">
        <v>7525</v>
      </c>
      <c r="K7" s="222" t="n">
        <v>1</v>
      </c>
      <c r="L7" s="222" t="s">
        <v>6461</v>
      </c>
      <c r="M7" s="6" t="s">
        <v>7526</v>
      </c>
      <c r="N7" s="222" t="s">
        <v>7038</v>
      </c>
      <c r="O7" s="28" t="s">
        <v>6464</v>
      </c>
      <c r="P7" s="28" t="s">
        <v>608</v>
      </c>
      <c r="Q7" s="28" t="s">
        <v>7527</v>
      </c>
      <c r="R7" s="28" t="s">
        <v>608</v>
      </c>
      <c r="S7" s="28" t="s">
        <v>608</v>
      </c>
      <c r="T7" s="28" t="s">
        <v>608</v>
      </c>
      <c r="U7" s="28" t="s">
        <v>7528</v>
      </c>
      <c r="V7" s="6" t="s">
        <v>7529</v>
      </c>
      <c r="W7" s="6" t="s">
        <v>608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7530</v>
      </c>
      <c r="B8" s="6" t="s">
        <v>7531</v>
      </c>
      <c r="C8" s="224" t="n">
        <v>0.01</v>
      </c>
      <c r="D8" s="222"/>
      <c r="E8" s="222"/>
      <c r="F8" s="28" t="s">
        <v>795</v>
      </c>
      <c r="G8" s="28" t="s">
        <v>7524</v>
      </c>
      <c r="H8" s="28" t="s">
        <v>1198</v>
      </c>
      <c r="I8" s="28" t="s">
        <v>1202</v>
      </c>
      <c r="J8" s="6" t="s">
        <v>7525</v>
      </c>
      <c r="K8" s="222" t="n">
        <v>1</v>
      </c>
      <c r="L8" s="222" t="s">
        <v>6461</v>
      </c>
      <c r="M8" s="6" t="s">
        <v>7526</v>
      </c>
      <c r="N8" s="222" t="s">
        <v>7038</v>
      </c>
      <c r="O8" s="28" t="s">
        <v>6464</v>
      </c>
      <c r="P8" s="28" t="s">
        <v>608</v>
      </c>
      <c r="Q8" s="28" t="s">
        <v>7527</v>
      </c>
      <c r="R8" s="28" t="s">
        <v>608</v>
      </c>
      <c r="S8" s="28" t="s">
        <v>608</v>
      </c>
      <c r="T8" s="28" t="s">
        <v>608</v>
      </c>
      <c r="U8" s="28" t="s">
        <v>7528</v>
      </c>
      <c r="V8" s="6" t="s">
        <v>7532</v>
      </c>
      <c r="W8" s="6" t="s">
        <v>608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7533</v>
      </c>
      <c r="B9" s="6" t="s">
        <v>7534</v>
      </c>
      <c r="C9" s="224" t="n">
        <v>0.5</v>
      </c>
      <c r="D9" s="222"/>
      <c r="E9" s="222"/>
      <c r="F9" s="28" t="s">
        <v>795</v>
      </c>
      <c r="G9" s="28" t="s">
        <v>7524</v>
      </c>
      <c r="H9" s="28" t="s">
        <v>1198</v>
      </c>
      <c r="I9" s="28" t="s">
        <v>1202</v>
      </c>
      <c r="J9" s="6" t="s">
        <v>7525</v>
      </c>
      <c r="K9" s="222" t="n">
        <v>1</v>
      </c>
      <c r="L9" s="222" t="s">
        <v>6461</v>
      </c>
      <c r="M9" s="6" t="s">
        <v>7526</v>
      </c>
      <c r="N9" s="222" t="s">
        <v>7038</v>
      </c>
      <c r="O9" s="28" t="s">
        <v>6464</v>
      </c>
      <c r="P9" s="28" t="s">
        <v>608</v>
      </c>
      <c r="Q9" s="28" t="s">
        <v>7527</v>
      </c>
      <c r="R9" s="28" t="s">
        <v>608</v>
      </c>
      <c r="S9" s="28" t="s">
        <v>608</v>
      </c>
      <c r="T9" s="28" t="s">
        <v>608</v>
      </c>
      <c r="U9" s="28" t="s">
        <v>7528</v>
      </c>
      <c r="V9" s="6" t="s">
        <v>7535</v>
      </c>
      <c r="W9" s="6" t="s">
        <v>608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7536</v>
      </c>
      <c r="B10" s="6" t="s">
        <v>7537</v>
      </c>
      <c r="C10" s="224" t="n">
        <v>2</v>
      </c>
      <c r="D10" s="222"/>
      <c r="E10" s="222"/>
      <c r="F10" s="28" t="s">
        <v>795</v>
      </c>
      <c r="G10" s="28" t="s">
        <v>7524</v>
      </c>
      <c r="H10" s="28" t="s">
        <v>1204</v>
      </c>
      <c r="I10" s="28" t="s">
        <v>1202</v>
      </c>
      <c r="J10" s="6" t="s">
        <v>7525</v>
      </c>
      <c r="K10" s="222" t="n">
        <v>1</v>
      </c>
      <c r="L10" s="222" t="s">
        <v>6461</v>
      </c>
      <c r="M10" s="6" t="s">
        <v>7526</v>
      </c>
      <c r="N10" s="222" t="s">
        <v>7038</v>
      </c>
      <c r="O10" s="28" t="s">
        <v>6464</v>
      </c>
      <c r="P10" s="28" t="s">
        <v>608</v>
      </c>
      <c r="Q10" s="28" t="s">
        <v>7527</v>
      </c>
      <c r="R10" s="28" t="s">
        <v>608</v>
      </c>
      <c r="S10" s="28" t="s">
        <v>608</v>
      </c>
      <c r="T10" s="28" t="s">
        <v>608</v>
      </c>
      <c r="U10" s="28" t="s">
        <v>7528</v>
      </c>
      <c r="V10" s="6" t="s">
        <v>7538</v>
      </c>
      <c r="W10" s="6" t="s">
        <v>608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7539</v>
      </c>
      <c r="B11" s="6" t="s">
        <v>7540</v>
      </c>
      <c r="C11" s="224" t="n">
        <v>0.2</v>
      </c>
      <c r="D11" s="222"/>
      <c r="E11" s="222"/>
      <c r="F11" s="28" t="s">
        <v>795</v>
      </c>
      <c r="G11" s="28" t="s">
        <v>7524</v>
      </c>
      <c r="H11" s="28" t="s">
        <v>1204</v>
      </c>
      <c r="I11" s="28" t="s">
        <v>1202</v>
      </c>
      <c r="J11" s="6" t="s">
        <v>7525</v>
      </c>
      <c r="K11" s="222" t="n">
        <v>1</v>
      </c>
      <c r="L11" s="222" t="s">
        <v>6461</v>
      </c>
      <c r="M11" s="6" t="s">
        <v>7526</v>
      </c>
      <c r="N11" s="222" t="s">
        <v>7038</v>
      </c>
      <c r="O11" s="28" t="s">
        <v>6464</v>
      </c>
      <c r="P11" s="28" t="s">
        <v>608</v>
      </c>
      <c r="Q11" s="28" t="s">
        <v>7527</v>
      </c>
      <c r="R11" s="28" t="s">
        <v>608</v>
      </c>
      <c r="S11" s="28" t="s">
        <v>608</v>
      </c>
      <c r="T11" s="28" t="s">
        <v>608</v>
      </c>
      <c r="U11" s="28" t="s">
        <v>7528</v>
      </c>
      <c r="V11" s="6" t="s">
        <v>7541</v>
      </c>
      <c r="W11" s="6" t="s">
        <v>608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7542</v>
      </c>
      <c r="B12" s="6" t="s">
        <v>7543</v>
      </c>
      <c r="C12" s="224" t="n">
        <v>10</v>
      </c>
      <c r="D12" s="222"/>
      <c r="E12" s="222"/>
      <c r="F12" s="28" t="s">
        <v>795</v>
      </c>
      <c r="G12" s="28" t="s">
        <v>7524</v>
      </c>
      <c r="H12" s="28" t="s">
        <v>1204</v>
      </c>
      <c r="I12" s="28" t="s">
        <v>1202</v>
      </c>
      <c r="J12" s="6" t="s">
        <v>7525</v>
      </c>
      <c r="K12" s="222" t="n">
        <v>1</v>
      </c>
      <c r="L12" s="222" t="s">
        <v>6461</v>
      </c>
      <c r="M12" s="6" t="s">
        <v>7526</v>
      </c>
      <c r="N12" s="222" t="s">
        <v>7038</v>
      </c>
      <c r="O12" s="28" t="s">
        <v>6464</v>
      </c>
      <c r="P12" s="28" t="s">
        <v>608</v>
      </c>
      <c r="Q12" s="28" t="s">
        <v>7527</v>
      </c>
      <c r="R12" s="28" t="s">
        <v>608</v>
      </c>
      <c r="S12" s="28" t="s">
        <v>608</v>
      </c>
      <c r="T12" s="28" t="s">
        <v>608</v>
      </c>
      <c r="U12" s="28" t="s">
        <v>7528</v>
      </c>
      <c r="V12" s="6" t="s">
        <v>7544</v>
      </c>
      <c r="W12" s="6" t="s">
        <v>608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7545</v>
      </c>
      <c r="B13" s="6" t="s">
        <v>7546</v>
      </c>
      <c r="C13" s="224" t="n">
        <v>10</v>
      </c>
      <c r="D13" s="222"/>
      <c r="E13" s="222"/>
      <c r="F13" s="28" t="s">
        <v>795</v>
      </c>
      <c r="G13" s="28" t="s">
        <v>7524</v>
      </c>
      <c r="H13" s="28" t="s">
        <v>1206</v>
      </c>
      <c r="I13" s="28" t="s">
        <v>1202</v>
      </c>
      <c r="J13" s="6" t="s">
        <v>7525</v>
      </c>
      <c r="K13" s="222" t="n">
        <v>1</v>
      </c>
      <c r="L13" s="222" t="s">
        <v>6461</v>
      </c>
      <c r="M13" s="6" t="s">
        <v>7526</v>
      </c>
      <c r="N13" s="222" t="s">
        <v>7038</v>
      </c>
      <c r="O13" s="28" t="s">
        <v>6464</v>
      </c>
      <c r="P13" s="28" t="s">
        <v>608</v>
      </c>
      <c r="Q13" s="28" t="s">
        <v>7527</v>
      </c>
      <c r="R13" s="28" t="s">
        <v>608</v>
      </c>
      <c r="S13" s="28" t="s">
        <v>608</v>
      </c>
      <c r="T13" s="28" t="s">
        <v>608</v>
      </c>
      <c r="U13" s="28" t="s">
        <v>7528</v>
      </c>
      <c r="V13" s="6" t="s">
        <v>7547</v>
      </c>
      <c r="W13" s="6" t="s">
        <v>608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7548</v>
      </c>
      <c r="B14" s="6" t="s">
        <v>7549</v>
      </c>
      <c r="C14" s="224" t="n">
        <v>1</v>
      </c>
      <c r="D14" s="222"/>
      <c r="E14" s="222"/>
      <c r="F14" s="28" t="s">
        <v>795</v>
      </c>
      <c r="G14" s="28" t="s">
        <v>7524</v>
      </c>
      <c r="H14" s="28" t="s">
        <v>1206</v>
      </c>
      <c r="I14" s="28" t="s">
        <v>1202</v>
      </c>
      <c r="J14" s="6" t="s">
        <v>7525</v>
      </c>
      <c r="K14" s="222" t="n">
        <v>1</v>
      </c>
      <c r="L14" s="222" t="s">
        <v>6461</v>
      </c>
      <c r="M14" s="6" t="s">
        <v>7526</v>
      </c>
      <c r="N14" s="222" t="s">
        <v>7038</v>
      </c>
      <c r="O14" s="28" t="s">
        <v>6464</v>
      </c>
      <c r="P14" s="28" t="s">
        <v>608</v>
      </c>
      <c r="Q14" s="28" t="s">
        <v>7527</v>
      </c>
      <c r="R14" s="28" t="s">
        <v>608</v>
      </c>
      <c r="S14" s="28" t="s">
        <v>608</v>
      </c>
      <c r="T14" s="28" t="s">
        <v>608</v>
      </c>
      <c r="U14" s="28" t="s">
        <v>7528</v>
      </c>
      <c r="V14" s="6" t="s">
        <v>7550</v>
      </c>
      <c r="W14" s="6" t="s">
        <v>608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7551</v>
      </c>
      <c r="B15" s="6" t="s">
        <v>7552</v>
      </c>
      <c r="C15" s="224" t="n">
        <v>50</v>
      </c>
      <c r="D15" s="222"/>
      <c r="E15" s="222"/>
      <c r="F15" s="28" t="s">
        <v>795</v>
      </c>
      <c r="G15" s="28" t="s">
        <v>7524</v>
      </c>
      <c r="H15" s="28" t="s">
        <v>1206</v>
      </c>
      <c r="I15" s="28" t="s">
        <v>1202</v>
      </c>
      <c r="J15" s="6" t="s">
        <v>7525</v>
      </c>
      <c r="K15" s="222" t="n">
        <v>1</v>
      </c>
      <c r="L15" s="222" t="s">
        <v>6461</v>
      </c>
      <c r="M15" s="6" t="s">
        <v>7526</v>
      </c>
      <c r="N15" s="222" t="s">
        <v>7038</v>
      </c>
      <c r="O15" s="28" t="s">
        <v>6464</v>
      </c>
      <c r="P15" s="28" t="s">
        <v>608</v>
      </c>
      <c r="Q15" s="28" t="s">
        <v>7527</v>
      </c>
      <c r="R15" s="28" t="s">
        <v>608</v>
      </c>
      <c r="S15" s="28" t="s">
        <v>608</v>
      </c>
      <c r="T15" s="28" t="s">
        <v>608</v>
      </c>
      <c r="U15" s="28" t="s">
        <v>7528</v>
      </c>
      <c r="V15" s="6" t="s">
        <v>7553</v>
      </c>
      <c r="W15" s="6" t="s">
        <v>608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7554</v>
      </c>
      <c r="B16" s="6" t="s">
        <v>7555</v>
      </c>
      <c r="C16" s="224" t="n">
        <v>10</v>
      </c>
      <c r="D16" s="222"/>
      <c r="E16" s="222"/>
      <c r="F16" s="28" t="s">
        <v>795</v>
      </c>
      <c r="G16" s="28" t="s">
        <v>7524</v>
      </c>
      <c r="H16" s="28" t="s">
        <v>1209</v>
      </c>
      <c r="I16" s="28" t="s">
        <v>1211</v>
      </c>
      <c r="J16" s="6" t="s">
        <v>7556</v>
      </c>
      <c r="K16" s="222" t="n">
        <v>2</v>
      </c>
      <c r="L16" s="222" t="s">
        <v>6461</v>
      </c>
      <c r="M16" s="6" t="s">
        <v>7557</v>
      </c>
      <c r="N16" s="222" t="s">
        <v>6474</v>
      </c>
      <c r="O16" s="28" t="s">
        <v>6464</v>
      </c>
      <c r="P16" s="28" t="s">
        <v>608</v>
      </c>
      <c r="Q16" s="28" t="s">
        <v>7558</v>
      </c>
      <c r="R16" s="28" t="s">
        <v>608</v>
      </c>
      <c r="S16" s="28" t="s">
        <v>608</v>
      </c>
      <c r="T16" s="28" t="s">
        <v>608</v>
      </c>
      <c r="U16" s="28" t="s">
        <v>7559</v>
      </c>
      <c r="V16" s="6" t="s">
        <v>7560</v>
      </c>
      <c r="W16" s="6" t="s">
        <v>608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7561</v>
      </c>
      <c r="B17" s="6" t="s">
        <v>7562</v>
      </c>
      <c r="C17" s="224" t="n">
        <v>0.25</v>
      </c>
      <c r="D17" s="222"/>
      <c r="E17" s="222"/>
      <c r="F17" s="28" t="s">
        <v>795</v>
      </c>
      <c r="G17" s="28" t="s">
        <v>7524</v>
      </c>
      <c r="H17" s="28" t="s">
        <v>1209</v>
      </c>
      <c r="I17" s="28" t="s">
        <v>1211</v>
      </c>
      <c r="J17" s="6" t="s">
        <v>7556</v>
      </c>
      <c r="K17" s="222" t="n">
        <v>2</v>
      </c>
      <c r="L17" s="222" t="s">
        <v>6461</v>
      </c>
      <c r="M17" s="6" t="s">
        <v>7557</v>
      </c>
      <c r="N17" s="222" t="s">
        <v>6474</v>
      </c>
      <c r="O17" s="28" t="s">
        <v>6464</v>
      </c>
      <c r="P17" s="28" t="s">
        <v>608</v>
      </c>
      <c r="Q17" s="28" t="s">
        <v>7558</v>
      </c>
      <c r="R17" s="28" t="s">
        <v>608</v>
      </c>
      <c r="S17" s="28" t="s">
        <v>608</v>
      </c>
      <c r="T17" s="28" t="s">
        <v>608</v>
      </c>
      <c r="U17" s="28" t="s">
        <v>7559</v>
      </c>
      <c r="V17" s="6" t="s">
        <v>7563</v>
      </c>
      <c r="W17" s="19" t="s">
        <v>7564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7565</v>
      </c>
      <c r="B18" s="6" t="s">
        <v>7566</v>
      </c>
      <c r="C18" s="224" t="n">
        <v>50</v>
      </c>
      <c r="D18" s="222"/>
      <c r="E18" s="222"/>
      <c r="F18" s="28" t="s">
        <v>795</v>
      </c>
      <c r="G18" s="28" t="s">
        <v>7524</v>
      </c>
      <c r="H18" s="28" t="s">
        <v>1209</v>
      </c>
      <c r="I18" s="28" t="s">
        <v>1211</v>
      </c>
      <c r="J18" s="6" t="s">
        <v>7556</v>
      </c>
      <c r="K18" s="222" t="n">
        <v>2</v>
      </c>
      <c r="L18" s="222" t="s">
        <v>6461</v>
      </c>
      <c r="M18" s="6" t="s">
        <v>7557</v>
      </c>
      <c r="N18" s="222" t="s">
        <v>6474</v>
      </c>
      <c r="O18" s="28" t="s">
        <v>6464</v>
      </c>
      <c r="P18" s="28" t="s">
        <v>608</v>
      </c>
      <c r="Q18" s="28" t="s">
        <v>7558</v>
      </c>
      <c r="R18" s="28" t="s">
        <v>608</v>
      </c>
      <c r="S18" s="28" t="s">
        <v>608</v>
      </c>
      <c r="T18" s="28" t="s">
        <v>608</v>
      </c>
      <c r="U18" s="28" t="s">
        <v>7559</v>
      </c>
      <c r="V18" s="6" t="s">
        <v>7567</v>
      </c>
      <c r="W18" s="6" t="s">
        <v>608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7568</v>
      </c>
      <c r="B19" s="6" t="s">
        <v>7569</v>
      </c>
      <c r="C19" s="224" t="n">
        <v>5</v>
      </c>
      <c r="D19" s="222"/>
      <c r="E19" s="222"/>
      <c r="F19" s="28" t="s">
        <v>795</v>
      </c>
      <c r="G19" s="28" t="s">
        <v>7524</v>
      </c>
      <c r="H19" s="28" t="s">
        <v>1213</v>
      </c>
      <c r="I19" s="28" t="s">
        <v>7570</v>
      </c>
      <c r="J19" s="6" t="s">
        <v>7556</v>
      </c>
      <c r="K19" s="222" t="n">
        <v>2</v>
      </c>
      <c r="L19" s="222" t="s">
        <v>6461</v>
      </c>
      <c r="M19" s="6" t="s">
        <v>7557</v>
      </c>
      <c r="N19" s="222" t="s">
        <v>6474</v>
      </c>
      <c r="O19" s="28" t="s">
        <v>6464</v>
      </c>
      <c r="P19" s="28" t="s">
        <v>608</v>
      </c>
      <c r="Q19" s="28" t="s">
        <v>7558</v>
      </c>
      <c r="R19" s="28" t="s">
        <v>608</v>
      </c>
      <c r="S19" s="28" t="s">
        <v>608</v>
      </c>
      <c r="T19" s="28" t="s">
        <v>608</v>
      </c>
      <c r="U19" s="28" t="s">
        <v>7559</v>
      </c>
      <c r="V19" s="6" t="s">
        <v>7571</v>
      </c>
      <c r="W19" s="19" t="s">
        <v>7572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7573</v>
      </c>
      <c r="B20" s="6" t="s">
        <v>7574</v>
      </c>
      <c r="C20" s="224" t="n">
        <v>25</v>
      </c>
      <c r="D20" s="222"/>
      <c r="E20" s="222"/>
      <c r="F20" s="28" t="s">
        <v>795</v>
      </c>
      <c r="G20" s="28" t="s">
        <v>7524</v>
      </c>
      <c r="H20" s="28" t="s">
        <v>1213</v>
      </c>
      <c r="I20" s="28" t="s">
        <v>7570</v>
      </c>
      <c r="J20" s="6" t="s">
        <v>7556</v>
      </c>
      <c r="K20" s="222" t="n">
        <v>2</v>
      </c>
      <c r="L20" s="222" t="s">
        <v>6461</v>
      </c>
      <c r="M20" s="6" t="s">
        <v>7557</v>
      </c>
      <c r="N20" s="222" t="s">
        <v>6474</v>
      </c>
      <c r="O20" s="28" t="s">
        <v>6464</v>
      </c>
      <c r="P20" s="28" t="s">
        <v>608</v>
      </c>
      <c r="Q20" s="28" t="s">
        <v>7558</v>
      </c>
      <c r="R20" s="28" t="s">
        <v>608</v>
      </c>
      <c r="S20" s="28" t="s">
        <v>608</v>
      </c>
      <c r="T20" s="28" t="s">
        <v>608</v>
      </c>
      <c r="U20" s="28" t="s">
        <v>7559</v>
      </c>
      <c r="V20" s="6" t="s">
        <v>7575</v>
      </c>
      <c r="W20" s="6" t="s">
        <v>608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7576</v>
      </c>
      <c r="B21" s="6" t="s">
        <v>7577</v>
      </c>
      <c r="C21" s="224" t="n">
        <v>4</v>
      </c>
      <c r="D21" s="222"/>
      <c r="E21" s="222"/>
      <c r="F21" s="28" t="s">
        <v>795</v>
      </c>
      <c r="G21" s="28" t="s">
        <v>7524</v>
      </c>
      <c r="H21" s="28" t="s">
        <v>1216</v>
      </c>
      <c r="I21" s="28" t="s">
        <v>1218</v>
      </c>
      <c r="J21" s="6" t="s">
        <v>7556</v>
      </c>
      <c r="K21" s="222" t="n">
        <v>2</v>
      </c>
      <c r="L21" s="222" t="s">
        <v>6461</v>
      </c>
      <c r="M21" s="6" t="s">
        <v>7557</v>
      </c>
      <c r="N21" s="222" t="s">
        <v>6474</v>
      </c>
      <c r="O21" s="28" t="s">
        <v>6464</v>
      </c>
      <c r="P21" s="28" t="s">
        <v>608</v>
      </c>
      <c r="Q21" s="28" t="s">
        <v>7558</v>
      </c>
      <c r="R21" s="28" t="s">
        <v>608</v>
      </c>
      <c r="S21" s="28" t="s">
        <v>608</v>
      </c>
      <c r="T21" s="28" t="s">
        <v>608</v>
      </c>
      <c r="U21" s="28" t="s">
        <v>7559</v>
      </c>
      <c r="V21" s="6" t="s">
        <v>7578</v>
      </c>
      <c r="W21" s="19" t="s">
        <v>7579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7580</v>
      </c>
      <c r="B22" s="6" t="s">
        <v>7581</v>
      </c>
      <c r="C22" s="224" t="n">
        <v>20</v>
      </c>
      <c r="D22" s="222"/>
      <c r="E22" s="222"/>
      <c r="F22" s="28" t="s">
        <v>795</v>
      </c>
      <c r="G22" s="28" t="s">
        <v>7524</v>
      </c>
      <c r="H22" s="28" t="s">
        <v>1216</v>
      </c>
      <c r="I22" s="28" t="s">
        <v>1218</v>
      </c>
      <c r="J22" s="6" t="s">
        <v>7556</v>
      </c>
      <c r="K22" s="222" t="n">
        <v>2</v>
      </c>
      <c r="L22" s="222" t="s">
        <v>6461</v>
      </c>
      <c r="M22" s="6" t="s">
        <v>7557</v>
      </c>
      <c r="N22" s="222" t="s">
        <v>6474</v>
      </c>
      <c r="O22" s="28" t="s">
        <v>6464</v>
      </c>
      <c r="P22" s="28" t="s">
        <v>608</v>
      </c>
      <c r="Q22" s="28" t="s">
        <v>7558</v>
      </c>
      <c r="R22" s="28" t="s">
        <v>608</v>
      </c>
      <c r="S22" s="28" t="s">
        <v>608</v>
      </c>
      <c r="T22" s="28" t="s">
        <v>608</v>
      </c>
      <c r="U22" s="28" t="s">
        <v>7559</v>
      </c>
      <c r="V22" s="6" t="s">
        <v>7582</v>
      </c>
      <c r="W22" s="6" t="s">
        <v>608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7583</v>
      </c>
      <c r="B23" s="6" t="s">
        <v>7584</v>
      </c>
      <c r="C23" s="224" t="n">
        <v>1.25</v>
      </c>
      <c r="D23" s="222"/>
      <c r="E23" s="222"/>
      <c r="F23" s="28" t="s">
        <v>7585</v>
      </c>
      <c r="G23" s="28" t="s">
        <v>608</v>
      </c>
      <c r="H23" s="28" t="s">
        <v>1210</v>
      </c>
      <c r="I23" s="28" t="s">
        <v>7570</v>
      </c>
      <c r="J23" s="6" t="s">
        <v>7556</v>
      </c>
      <c r="K23" s="222" t="n">
        <v>2</v>
      </c>
      <c r="L23" s="222" t="s">
        <v>6461</v>
      </c>
      <c r="M23" s="6" t="s">
        <v>7557</v>
      </c>
      <c r="N23" s="222" t="s">
        <v>6474</v>
      </c>
      <c r="O23" s="28" t="s">
        <v>6464</v>
      </c>
      <c r="P23" s="28" t="s">
        <v>608</v>
      </c>
      <c r="Q23" s="28" t="s">
        <v>7558</v>
      </c>
      <c r="R23" s="28" t="s">
        <v>608</v>
      </c>
      <c r="S23" s="28" t="s">
        <v>608</v>
      </c>
      <c r="T23" s="28" t="s">
        <v>608</v>
      </c>
      <c r="U23" s="28" t="s">
        <v>7559</v>
      </c>
      <c r="V23" s="6" t="s">
        <v>608</v>
      </c>
      <c r="W23" s="6" t="s">
        <v>608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7586</v>
      </c>
      <c r="B24" s="6" t="s">
        <v>7587</v>
      </c>
      <c r="C24" s="224" t="n">
        <v>2</v>
      </c>
      <c r="D24" s="222"/>
      <c r="E24" s="222"/>
      <c r="F24" s="28" t="s">
        <v>7585</v>
      </c>
      <c r="G24" s="28" t="s">
        <v>608</v>
      </c>
      <c r="H24" s="28" t="s">
        <v>1210</v>
      </c>
      <c r="I24" s="28" t="s">
        <v>7570</v>
      </c>
      <c r="J24" s="6" t="s">
        <v>7556</v>
      </c>
      <c r="K24" s="222" t="n">
        <v>2</v>
      </c>
      <c r="L24" s="222" t="s">
        <v>6461</v>
      </c>
      <c r="M24" s="6" t="s">
        <v>7557</v>
      </c>
      <c r="N24" s="222" t="s">
        <v>6474</v>
      </c>
      <c r="O24" s="28" t="s">
        <v>6464</v>
      </c>
      <c r="P24" s="28" t="s">
        <v>608</v>
      </c>
      <c r="Q24" s="28" t="s">
        <v>7558</v>
      </c>
      <c r="R24" s="28" t="s">
        <v>608</v>
      </c>
      <c r="S24" s="28" t="s">
        <v>608</v>
      </c>
      <c r="T24" s="28" t="s">
        <v>608</v>
      </c>
      <c r="U24" s="28" t="s">
        <v>7559</v>
      </c>
      <c r="V24" s="6" t="s">
        <v>608</v>
      </c>
      <c r="W24" s="6" t="s">
        <v>608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7588</v>
      </c>
      <c r="B25" s="6" t="s">
        <v>7589</v>
      </c>
      <c r="C25" s="224" t="n">
        <v>0.3</v>
      </c>
      <c r="D25" s="222"/>
      <c r="E25" s="222"/>
      <c r="F25" s="28" t="s">
        <v>795</v>
      </c>
      <c r="G25" s="222" t="s">
        <v>7590</v>
      </c>
      <c r="H25" s="28" t="s">
        <v>1220</v>
      </c>
      <c r="I25" s="28" t="s">
        <v>1223</v>
      </c>
      <c r="J25" s="6" t="s">
        <v>7591</v>
      </c>
      <c r="K25" s="222" t="n">
        <v>1</v>
      </c>
      <c r="L25" s="222" t="s">
        <v>6461</v>
      </c>
      <c r="M25" s="6" t="s">
        <v>7592</v>
      </c>
      <c r="N25" s="222" t="s">
        <v>7038</v>
      </c>
      <c r="O25" s="28" t="s">
        <v>6464</v>
      </c>
      <c r="P25" s="28" t="s">
        <v>608</v>
      </c>
      <c r="Q25" s="28" t="s">
        <v>7593</v>
      </c>
      <c r="R25" s="28" t="s">
        <v>608</v>
      </c>
      <c r="S25" s="28" t="s">
        <v>608</v>
      </c>
      <c r="T25" s="28" t="s">
        <v>608</v>
      </c>
      <c r="U25" s="28" t="s">
        <v>3601</v>
      </c>
      <c r="V25" s="6" t="s">
        <v>7594</v>
      </c>
      <c r="W25" s="6" t="s">
        <v>608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7595</v>
      </c>
      <c r="B26" s="6" t="s">
        <v>7596</v>
      </c>
      <c r="C26" s="224" t="n">
        <v>0.006</v>
      </c>
      <c r="D26" s="222"/>
      <c r="E26" s="222"/>
      <c r="F26" s="28" t="s">
        <v>795</v>
      </c>
      <c r="G26" s="222" t="s">
        <v>7597</v>
      </c>
      <c r="H26" s="28" t="s">
        <v>1220</v>
      </c>
      <c r="I26" s="28" t="s">
        <v>1223</v>
      </c>
      <c r="J26" s="6" t="s">
        <v>7591</v>
      </c>
      <c r="K26" s="222" t="n">
        <v>1</v>
      </c>
      <c r="L26" s="222" t="s">
        <v>6461</v>
      </c>
      <c r="M26" s="6" t="s">
        <v>7592</v>
      </c>
      <c r="N26" s="222" t="s">
        <v>7038</v>
      </c>
      <c r="O26" s="28" t="s">
        <v>6464</v>
      </c>
      <c r="P26" s="28" t="s">
        <v>608</v>
      </c>
      <c r="Q26" s="28" t="s">
        <v>7593</v>
      </c>
      <c r="R26" s="28" t="s">
        <v>608</v>
      </c>
      <c r="S26" s="28" t="s">
        <v>608</v>
      </c>
      <c r="T26" s="28" t="s">
        <v>608</v>
      </c>
      <c r="U26" s="28" t="s">
        <v>3601</v>
      </c>
      <c r="V26" s="6" t="s">
        <v>7598</v>
      </c>
      <c r="W26" s="6" t="s">
        <v>608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7599</v>
      </c>
      <c r="B27" s="6" t="s">
        <v>7600</v>
      </c>
      <c r="C27" s="224" t="n">
        <v>1.2</v>
      </c>
      <c r="D27" s="222"/>
      <c r="E27" s="222"/>
      <c r="F27" s="28" t="s">
        <v>795</v>
      </c>
      <c r="G27" s="222" t="s">
        <v>7597</v>
      </c>
      <c r="H27" s="28" t="s">
        <v>1220</v>
      </c>
      <c r="I27" s="28" t="s">
        <v>1223</v>
      </c>
      <c r="J27" s="6" t="s">
        <v>7591</v>
      </c>
      <c r="K27" s="222" t="n">
        <v>1</v>
      </c>
      <c r="L27" s="222" t="s">
        <v>6461</v>
      </c>
      <c r="M27" s="6" t="s">
        <v>7592</v>
      </c>
      <c r="N27" s="222" t="s">
        <v>7038</v>
      </c>
      <c r="O27" s="28" t="s">
        <v>6464</v>
      </c>
      <c r="P27" s="28" t="s">
        <v>608</v>
      </c>
      <c r="Q27" s="28" t="s">
        <v>7593</v>
      </c>
      <c r="R27" s="28" t="s">
        <v>608</v>
      </c>
      <c r="S27" s="28" t="s">
        <v>608</v>
      </c>
      <c r="T27" s="28" t="s">
        <v>608</v>
      </c>
      <c r="U27" s="28" t="s">
        <v>3601</v>
      </c>
      <c r="V27" s="6" t="s">
        <v>7601</v>
      </c>
      <c r="W27" s="6" t="s">
        <v>608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7602</v>
      </c>
      <c r="B28" s="6" t="s">
        <v>7603</v>
      </c>
      <c r="C28" s="224" t="n">
        <v>1.32</v>
      </c>
      <c r="D28" s="222"/>
      <c r="E28" s="222"/>
      <c r="F28" s="28" t="s">
        <v>795</v>
      </c>
      <c r="G28" s="222" t="s">
        <v>7597</v>
      </c>
      <c r="H28" s="28" t="s">
        <v>1225</v>
      </c>
      <c r="I28" s="28" t="s">
        <v>1223</v>
      </c>
      <c r="J28" s="6" t="s">
        <v>7591</v>
      </c>
      <c r="K28" s="222" t="n">
        <v>1</v>
      </c>
      <c r="L28" s="222" t="s">
        <v>6461</v>
      </c>
      <c r="M28" s="6" t="s">
        <v>7592</v>
      </c>
      <c r="N28" s="222" t="s">
        <v>7038</v>
      </c>
      <c r="O28" s="28" t="s">
        <v>6464</v>
      </c>
      <c r="P28" s="28" t="s">
        <v>608</v>
      </c>
      <c r="Q28" s="28" t="s">
        <v>7593</v>
      </c>
      <c r="R28" s="28" t="s">
        <v>608</v>
      </c>
      <c r="S28" s="28" t="s">
        <v>608</v>
      </c>
      <c r="T28" s="28" t="s">
        <v>608</v>
      </c>
      <c r="U28" s="28" t="s">
        <v>3601</v>
      </c>
      <c r="V28" s="6" t="s">
        <v>7604</v>
      </c>
      <c r="W28" s="6" t="s">
        <v>608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7605</v>
      </c>
      <c r="B29" s="6" t="s">
        <v>7606</v>
      </c>
      <c r="C29" s="224" t="n">
        <v>0.044</v>
      </c>
      <c r="D29" s="222"/>
      <c r="E29" s="222"/>
      <c r="F29" s="28" t="s">
        <v>795</v>
      </c>
      <c r="G29" s="222" t="s">
        <v>7597</v>
      </c>
      <c r="H29" s="28" t="s">
        <v>1225</v>
      </c>
      <c r="I29" s="28" t="s">
        <v>1223</v>
      </c>
      <c r="J29" s="6" t="s">
        <v>7591</v>
      </c>
      <c r="K29" s="222" t="n">
        <v>1</v>
      </c>
      <c r="L29" s="222" t="s">
        <v>6461</v>
      </c>
      <c r="M29" s="6" t="s">
        <v>7592</v>
      </c>
      <c r="N29" s="222" t="s">
        <v>7038</v>
      </c>
      <c r="O29" s="28" t="s">
        <v>6464</v>
      </c>
      <c r="P29" s="28" t="s">
        <v>608</v>
      </c>
      <c r="Q29" s="28" t="s">
        <v>7593</v>
      </c>
      <c r="R29" s="28" t="s">
        <v>608</v>
      </c>
      <c r="S29" s="28" t="s">
        <v>608</v>
      </c>
      <c r="T29" s="28" t="s">
        <v>608</v>
      </c>
      <c r="U29" s="28" t="s">
        <v>3601</v>
      </c>
      <c r="V29" s="6" t="s">
        <v>7607</v>
      </c>
      <c r="W29" s="6" t="s">
        <v>608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7608</v>
      </c>
      <c r="B30" s="6" t="s">
        <v>7609</v>
      </c>
      <c r="C30" s="224" t="n">
        <v>3.96</v>
      </c>
      <c r="D30" s="222"/>
      <c r="E30" s="222"/>
      <c r="F30" s="28" t="s">
        <v>795</v>
      </c>
      <c r="G30" s="222" t="s">
        <v>7597</v>
      </c>
      <c r="H30" s="28" t="s">
        <v>1225</v>
      </c>
      <c r="I30" s="28" t="s">
        <v>1223</v>
      </c>
      <c r="J30" s="6" t="s">
        <v>7591</v>
      </c>
      <c r="K30" s="222" t="n">
        <v>1</v>
      </c>
      <c r="L30" s="222" t="s">
        <v>6461</v>
      </c>
      <c r="M30" s="6" t="s">
        <v>7592</v>
      </c>
      <c r="N30" s="222" t="s">
        <v>7038</v>
      </c>
      <c r="O30" s="28" t="s">
        <v>6464</v>
      </c>
      <c r="P30" s="28" t="s">
        <v>608</v>
      </c>
      <c r="Q30" s="28" t="s">
        <v>7593</v>
      </c>
      <c r="R30" s="28" t="s">
        <v>608</v>
      </c>
      <c r="S30" s="28" t="s">
        <v>608</v>
      </c>
      <c r="T30" s="28" t="s">
        <v>608</v>
      </c>
      <c r="U30" s="28" t="s">
        <v>3601</v>
      </c>
      <c r="V30" s="6" t="s">
        <v>7610</v>
      </c>
      <c r="W30" s="6" t="s">
        <v>608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5016</v>
      </c>
      <c r="B31" s="6" t="s">
        <v>7611</v>
      </c>
      <c r="C31" s="224" t="n">
        <v>0.5</v>
      </c>
      <c r="D31" s="222"/>
      <c r="E31" s="222"/>
      <c r="F31" s="28" t="s">
        <v>97</v>
      </c>
      <c r="G31" s="28" t="s">
        <v>608</v>
      </c>
      <c r="H31" s="28" t="s">
        <v>1221</v>
      </c>
      <c r="I31" s="28" t="s">
        <v>1223</v>
      </c>
      <c r="J31" s="6" t="s">
        <v>7591</v>
      </c>
      <c r="K31" s="222" t="n">
        <v>1</v>
      </c>
      <c r="L31" s="222" t="s">
        <v>6461</v>
      </c>
      <c r="M31" s="6" t="s">
        <v>7592</v>
      </c>
      <c r="N31" s="222" t="s">
        <v>7038</v>
      </c>
      <c r="O31" s="28" t="s">
        <v>6464</v>
      </c>
      <c r="P31" s="28" t="s">
        <v>608</v>
      </c>
      <c r="Q31" s="28" t="s">
        <v>7593</v>
      </c>
      <c r="R31" s="28" t="s">
        <v>608</v>
      </c>
      <c r="S31" s="28" t="s">
        <v>608</v>
      </c>
      <c r="T31" s="28" t="s">
        <v>608</v>
      </c>
      <c r="U31" s="28" t="s">
        <v>3601</v>
      </c>
      <c r="V31" s="6" t="s">
        <v>7612</v>
      </c>
      <c r="W31" s="6" t="s">
        <v>608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7613</v>
      </c>
      <c r="B32" s="6" t="s">
        <v>7614</v>
      </c>
      <c r="C32" s="224" t="n">
        <v>35</v>
      </c>
      <c r="D32" s="222"/>
      <c r="E32" s="222"/>
      <c r="F32" s="28" t="s">
        <v>7615</v>
      </c>
      <c r="G32" s="222" t="s">
        <v>7616</v>
      </c>
      <c r="H32" s="28" t="s">
        <v>1221</v>
      </c>
      <c r="I32" s="28" t="s">
        <v>1223</v>
      </c>
      <c r="J32" s="6" t="s">
        <v>7591</v>
      </c>
      <c r="K32" s="222" t="n">
        <v>1</v>
      </c>
      <c r="L32" s="222" t="s">
        <v>6461</v>
      </c>
      <c r="M32" s="6" t="s">
        <v>7592</v>
      </c>
      <c r="N32" s="222" t="s">
        <v>7038</v>
      </c>
      <c r="O32" s="28" t="s">
        <v>6464</v>
      </c>
      <c r="P32" s="28" t="s">
        <v>608</v>
      </c>
      <c r="Q32" s="28" t="s">
        <v>7593</v>
      </c>
      <c r="R32" s="28" t="s">
        <v>608</v>
      </c>
      <c r="S32" s="28" t="s">
        <v>608</v>
      </c>
      <c r="T32" s="28" t="s">
        <v>608</v>
      </c>
      <c r="U32" s="28" t="s">
        <v>3601</v>
      </c>
      <c r="V32" s="6" t="s">
        <v>7617</v>
      </c>
      <c r="W32" s="19" t="s">
        <v>7618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7619</v>
      </c>
      <c r="B33" s="6" t="s">
        <v>7620</v>
      </c>
      <c r="C33" s="224" t="n">
        <v>1.4</v>
      </c>
      <c r="D33" s="222"/>
      <c r="E33" s="222"/>
      <c r="F33" s="28" t="s">
        <v>795</v>
      </c>
      <c r="G33" s="28" t="s">
        <v>608</v>
      </c>
      <c r="H33" s="28" t="s">
        <v>1227</v>
      </c>
      <c r="I33" s="28" t="s">
        <v>1223</v>
      </c>
      <c r="J33" s="6" t="s">
        <v>7621</v>
      </c>
      <c r="K33" s="222" t="n">
        <v>1</v>
      </c>
      <c r="L33" s="222" t="s">
        <v>6461</v>
      </c>
      <c r="M33" s="6" t="s">
        <v>7622</v>
      </c>
      <c r="N33" s="222" t="s">
        <v>7038</v>
      </c>
      <c r="O33" s="28" t="s">
        <v>6464</v>
      </c>
      <c r="P33" s="28" t="s">
        <v>608</v>
      </c>
      <c r="Q33" s="28" t="s">
        <v>7623</v>
      </c>
      <c r="R33" s="28" t="s">
        <v>608</v>
      </c>
      <c r="S33" s="28" t="s">
        <v>608</v>
      </c>
      <c r="T33" s="28" t="s">
        <v>608</v>
      </c>
      <c r="U33" s="28" t="s">
        <v>7624</v>
      </c>
      <c r="V33" s="6" t="s">
        <v>7625</v>
      </c>
      <c r="W33" s="6" t="s">
        <v>608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7626</v>
      </c>
      <c r="B34" s="6" t="s">
        <v>7627</v>
      </c>
      <c r="C34" s="224" t="n">
        <v>0.26</v>
      </c>
      <c r="D34" s="222"/>
      <c r="E34" s="222"/>
      <c r="F34" s="28" t="s">
        <v>795</v>
      </c>
      <c r="G34" s="28" t="s">
        <v>608</v>
      </c>
      <c r="H34" s="28" t="s">
        <v>1227</v>
      </c>
      <c r="I34" s="28" t="s">
        <v>1223</v>
      </c>
      <c r="J34" s="6" t="s">
        <v>7621</v>
      </c>
      <c r="K34" s="222" t="n">
        <v>1</v>
      </c>
      <c r="L34" s="222" t="s">
        <v>6461</v>
      </c>
      <c r="M34" s="6" t="s">
        <v>7622</v>
      </c>
      <c r="N34" s="222" t="s">
        <v>7038</v>
      </c>
      <c r="O34" s="28" t="s">
        <v>6464</v>
      </c>
      <c r="P34" s="28" t="s">
        <v>608</v>
      </c>
      <c r="Q34" s="28" t="s">
        <v>7623</v>
      </c>
      <c r="R34" s="28" t="s">
        <v>608</v>
      </c>
      <c r="S34" s="28" t="s">
        <v>608</v>
      </c>
      <c r="T34" s="28" t="s">
        <v>608</v>
      </c>
      <c r="U34" s="28" t="s">
        <v>7624</v>
      </c>
      <c r="V34" s="6" t="s">
        <v>7628</v>
      </c>
      <c r="W34" s="6" t="s">
        <v>608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7629</v>
      </c>
      <c r="B35" s="6" t="s">
        <v>7630</v>
      </c>
      <c r="C35" s="224" t="n">
        <v>4.4</v>
      </c>
      <c r="D35" s="222"/>
      <c r="E35" s="222"/>
      <c r="F35" s="28" t="s">
        <v>795</v>
      </c>
      <c r="G35" s="28" t="s">
        <v>608</v>
      </c>
      <c r="H35" s="28" t="s">
        <v>1227</v>
      </c>
      <c r="I35" s="28" t="s">
        <v>1223</v>
      </c>
      <c r="J35" s="6" t="s">
        <v>7621</v>
      </c>
      <c r="K35" s="222" t="n">
        <v>1</v>
      </c>
      <c r="L35" s="222" t="s">
        <v>6461</v>
      </c>
      <c r="M35" s="6" t="s">
        <v>7622</v>
      </c>
      <c r="N35" s="222" t="s">
        <v>7038</v>
      </c>
      <c r="O35" s="28" t="s">
        <v>6464</v>
      </c>
      <c r="P35" s="28" t="s">
        <v>608</v>
      </c>
      <c r="Q35" s="28" t="s">
        <v>7623</v>
      </c>
      <c r="R35" s="28" t="s">
        <v>608</v>
      </c>
      <c r="S35" s="28" t="s">
        <v>608</v>
      </c>
      <c r="T35" s="28" t="s">
        <v>608</v>
      </c>
      <c r="U35" s="28" t="s">
        <v>7624</v>
      </c>
      <c r="V35" s="6" t="s">
        <v>7631</v>
      </c>
      <c r="W35" s="6" t="s">
        <v>608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7632</v>
      </c>
      <c r="B36" s="6" t="s">
        <v>7633</v>
      </c>
      <c r="C36" s="224" t="n">
        <v>0.15</v>
      </c>
      <c r="D36" s="222"/>
      <c r="E36" s="222"/>
      <c r="F36" s="28" t="s">
        <v>795</v>
      </c>
      <c r="G36" s="28" t="s">
        <v>608</v>
      </c>
      <c r="H36" s="28" t="s">
        <v>1231</v>
      </c>
      <c r="I36" s="28" t="s">
        <v>1223</v>
      </c>
      <c r="J36" s="6" t="s">
        <v>7621</v>
      </c>
      <c r="K36" s="222" t="n">
        <v>1</v>
      </c>
      <c r="L36" s="222" t="s">
        <v>6461</v>
      </c>
      <c r="M36" s="6" t="s">
        <v>7622</v>
      </c>
      <c r="N36" s="222" t="s">
        <v>7038</v>
      </c>
      <c r="O36" s="28" t="s">
        <v>6464</v>
      </c>
      <c r="P36" s="28" t="s">
        <v>608</v>
      </c>
      <c r="Q36" s="28" t="s">
        <v>7623</v>
      </c>
      <c r="R36" s="28" t="s">
        <v>608</v>
      </c>
      <c r="S36" s="28" t="s">
        <v>608</v>
      </c>
      <c r="T36" s="28" t="s">
        <v>608</v>
      </c>
      <c r="U36" s="28" t="s">
        <v>7624</v>
      </c>
      <c r="V36" s="6" t="s">
        <v>7634</v>
      </c>
      <c r="W36" s="6" t="s">
        <v>608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7635</v>
      </c>
      <c r="B37" s="6" t="s">
        <v>7636</v>
      </c>
      <c r="C37" s="224" t="n">
        <v>0.03</v>
      </c>
      <c r="D37" s="222"/>
      <c r="E37" s="222"/>
      <c r="F37" s="28" t="s">
        <v>795</v>
      </c>
      <c r="G37" s="28" t="s">
        <v>608</v>
      </c>
      <c r="H37" s="28" t="s">
        <v>1231</v>
      </c>
      <c r="I37" s="28" t="s">
        <v>1223</v>
      </c>
      <c r="J37" s="6" t="s">
        <v>7621</v>
      </c>
      <c r="K37" s="222" t="n">
        <v>1</v>
      </c>
      <c r="L37" s="222" t="s">
        <v>6461</v>
      </c>
      <c r="M37" s="6" t="s">
        <v>7622</v>
      </c>
      <c r="N37" s="222" t="s">
        <v>7038</v>
      </c>
      <c r="O37" s="28" t="s">
        <v>6464</v>
      </c>
      <c r="P37" s="28" t="s">
        <v>608</v>
      </c>
      <c r="Q37" s="28" t="s">
        <v>7623</v>
      </c>
      <c r="R37" s="28" t="s">
        <v>608</v>
      </c>
      <c r="S37" s="28" t="s">
        <v>608</v>
      </c>
      <c r="T37" s="28" t="s">
        <v>608</v>
      </c>
      <c r="U37" s="28" t="s">
        <v>7624</v>
      </c>
      <c r="V37" s="6" t="s">
        <v>7637</v>
      </c>
      <c r="W37" s="6" t="s">
        <v>608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7638</v>
      </c>
      <c r="B38" s="6" t="s">
        <v>7639</v>
      </c>
      <c r="C38" s="224" t="n">
        <v>0.5</v>
      </c>
      <c r="D38" s="222"/>
      <c r="E38" s="222"/>
      <c r="F38" s="28" t="s">
        <v>795</v>
      </c>
      <c r="G38" s="28" t="s">
        <v>608</v>
      </c>
      <c r="H38" s="28" t="s">
        <v>1231</v>
      </c>
      <c r="I38" s="28" t="s">
        <v>1223</v>
      </c>
      <c r="J38" s="6" t="s">
        <v>7621</v>
      </c>
      <c r="K38" s="222" t="n">
        <v>1</v>
      </c>
      <c r="L38" s="222" t="s">
        <v>6461</v>
      </c>
      <c r="M38" s="6" t="s">
        <v>7622</v>
      </c>
      <c r="N38" s="222" t="s">
        <v>7038</v>
      </c>
      <c r="O38" s="28" t="s">
        <v>6464</v>
      </c>
      <c r="P38" s="28" t="s">
        <v>608</v>
      </c>
      <c r="Q38" s="28" t="s">
        <v>7623</v>
      </c>
      <c r="R38" s="28" t="s">
        <v>608</v>
      </c>
      <c r="S38" s="28" t="s">
        <v>608</v>
      </c>
      <c r="T38" s="28" t="s">
        <v>608</v>
      </c>
      <c r="U38" s="28" t="s">
        <v>7624</v>
      </c>
      <c r="V38" s="6" t="s">
        <v>7640</v>
      </c>
      <c r="W38" s="6" t="s">
        <v>608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7641</v>
      </c>
      <c r="B39" s="6" t="s">
        <v>7642</v>
      </c>
      <c r="C39" s="224" t="n">
        <v>3</v>
      </c>
      <c r="D39" s="222"/>
      <c r="E39" s="222"/>
      <c r="F39" s="28" t="s">
        <v>795</v>
      </c>
      <c r="G39" s="28" t="s">
        <v>608</v>
      </c>
      <c r="H39" s="28" t="s">
        <v>1237</v>
      </c>
      <c r="I39" s="28" t="s">
        <v>7570</v>
      </c>
      <c r="J39" s="6" t="s">
        <v>7643</v>
      </c>
      <c r="K39" s="222" t="n">
        <v>2</v>
      </c>
      <c r="L39" s="222" t="s">
        <v>6461</v>
      </c>
      <c r="M39" s="6" t="s">
        <v>7644</v>
      </c>
      <c r="N39" s="222" t="s">
        <v>6474</v>
      </c>
      <c r="O39" s="28" t="s">
        <v>6464</v>
      </c>
      <c r="P39" s="28" t="s">
        <v>608</v>
      </c>
      <c r="Q39" s="28" t="s">
        <v>7645</v>
      </c>
      <c r="R39" s="28" t="s">
        <v>608</v>
      </c>
      <c r="S39" s="28" t="s">
        <v>608</v>
      </c>
      <c r="T39" s="28" t="s">
        <v>608</v>
      </c>
      <c r="U39" s="28" t="s">
        <v>7646</v>
      </c>
      <c r="V39" s="6" t="s">
        <v>7647</v>
      </c>
      <c r="W39" s="6" t="s">
        <v>608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7648</v>
      </c>
      <c r="B40" s="6" t="s">
        <v>7649</v>
      </c>
      <c r="C40" s="224" t="n">
        <v>0.3</v>
      </c>
      <c r="D40" s="222"/>
      <c r="E40" s="222"/>
      <c r="F40" s="28" t="s">
        <v>795</v>
      </c>
      <c r="G40" s="28" t="s">
        <v>608</v>
      </c>
      <c r="H40" s="28" t="s">
        <v>1237</v>
      </c>
      <c r="I40" s="28" t="s">
        <v>7570</v>
      </c>
      <c r="J40" s="6" t="s">
        <v>7643</v>
      </c>
      <c r="K40" s="222" t="n">
        <v>2</v>
      </c>
      <c r="L40" s="222" t="s">
        <v>6461</v>
      </c>
      <c r="M40" s="6" t="s">
        <v>7644</v>
      </c>
      <c r="N40" s="222" t="s">
        <v>6474</v>
      </c>
      <c r="O40" s="28" t="s">
        <v>6464</v>
      </c>
      <c r="P40" s="28" t="s">
        <v>608</v>
      </c>
      <c r="Q40" s="28" t="s">
        <v>7645</v>
      </c>
      <c r="R40" s="28" t="s">
        <v>608</v>
      </c>
      <c r="S40" s="28" t="s">
        <v>608</v>
      </c>
      <c r="T40" s="28" t="s">
        <v>608</v>
      </c>
      <c r="U40" s="28" t="s">
        <v>7646</v>
      </c>
      <c r="V40" s="6" t="s">
        <v>7650</v>
      </c>
      <c r="W40" s="6" t="s">
        <v>608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7651</v>
      </c>
      <c r="B41" s="6" t="s">
        <v>7652</v>
      </c>
      <c r="C41" s="224" t="n">
        <v>15</v>
      </c>
      <c r="D41" s="222"/>
      <c r="E41" s="222"/>
      <c r="F41" s="28" t="s">
        <v>795</v>
      </c>
      <c r="G41" s="28" t="s">
        <v>608</v>
      </c>
      <c r="H41" s="28" t="s">
        <v>1237</v>
      </c>
      <c r="I41" s="28" t="s">
        <v>7570</v>
      </c>
      <c r="J41" s="6" t="s">
        <v>7643</v>
      </c>
      <c r="K41" s="222" t="n">
        <v>2</v>
      </c>
      <c r="L41" s="222" t="s">
        <v>6461</v>
      </c>
      <c r="M41" s="6" t="s">
        <v>7644</v>
      </c>
      <c r="N41" s="222" t="s">
        <v>6474</v>
      </c>
      <c r="O41" s="28" t="s">
        <v>6464</v>
      </c>
      <c r="P41" s="28" t="s">
        <v>608</v>
      </c>
      <c r="Q41" s="28" t="s">
        <v>7645</v>
      </c>
      <c r="R41" s="28" t="s">
        <v>608</v>
      </c>
      <c r="S41" s="28" t="s">
        <v>608</v>
      </c>
      <c r="T41" s="28" t="s">
        <v>608</v>
      </c>
      <c r="U41" s="28" t="s">
        <v>7646</v>
      </c>
      <c r="V41" s="6" t="s">
        <v>7653</v>
      </c>
      <c r="W41" s="6" t="s">
        <v>608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7654</v>
      </c>
      <c r="B42" s="6" t="s">
        <v>7655</v>
      </c>
      <c r="C42" s="224" t="n">
        <v>2</v>
      </c>
      <c r="D42" s="222"/>
      <c r="E42" s="222"/>
      <c r="F42" s="28" t="s">
        <v>795</v>
      </c>
      <c r="G42" s="222" t="s">
        <v>7656</v>
      </c>
      <c r="H42" s="28" t="s">
        <v>1233</v>
      </c>
      <c r="I42" s="28" t="s">
        <v>1211</v>
      </c>
      <c r="J42" s="6" t="s">
        <v>7643</v>
      </c>
      <c r="K42" s="222" t="n">
        <v>2</v>
      </c>
      <c r="L42" s="222" t="s">
        <v>6461</v>
      </c>
      <c r="M42" s="6" t="s">
        <v>7644</v>
      </c>
      <c r="N42" s="222" t="s">
        <v>6474</v>
      </c>
      <c r="O42" s="28" t="s">
        <v>6464</v>
      </c>
      <c r="P42" s="28" t="s">
        <v>608</v>
      </c>
      <c r="Q42" s="28" t="s">
        <v>7645</v>
      </c>
      <c r="R42" s="28" t="s">
        <v>608</v>
      </c>
      <c r="S42" s="28" t="s">
        <v>608</v>
      </c>
      <c r="T42" s="28" t="s">
        <v>608</v>
      </c>
      <c r="U42" s="28" t="s">
        <v>7646</v>
      </c>
      <c r="V42" s="6" t="s">
        <v>7657</v>
      </c>
      <c r="W42" s="6" t="s">
        <v>608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7658</v>
      </c>
      <c r="B43" s="6" t="s">
        <v>7659</v>
      </c>
      <c r="C43" s="224" t="n">
        <v>0.25</v>
      </c>
      <c r="D43" s="222"/>
      <c r="E43" s="222"/>
      <c r="F43" s="28" t="s">
        <v>795</v>
      </c>
      <c r="G43" s="222" t="s">
        <v>7656</v>
      </c>
      <c r="H43" s="28" t="s">
        <v>1233</v>
      </c>
      <c r="I43" s="28" t="s">
        <v>1211</v>
      </c>
      <c r="J43" s="6" t="s">
        <v>7643</v>
      </c>
      <c r="K43" s="222" t="n">
        <v>2</v>
      </c>
      <c r="L43" s="222" t="s">
        <v>6461</v>
      </c>
      <c r="M43" s="6" t="s">
        <v>7644</v>
      </c>
      <c r="N43" s="222" t="s">
        <v>6474</v>
      </c>
      <c r="O43" s="28" t="s">
        <v>6464</v>
      </c>
      <c r="P43" s="28" t="s">
        <v>608</v>
      </c>
      <c r="Q43" s="28" t="s">
        <v>7645</v>
      </c>
      <c r="R43" s="28" t="s">
        <v>608</v>
      </c>
      <c r="S43" s="28" t="s">
        <v>608</v>
      </c>
      <c r="T43" s="28" t="s">
        <v>608</v>
      </c>
      <c r="U43" s="28" t="s">
        <v>7646</v>
      </c>
      <c r="V43" s="6" t="s">
        <v>7660</v>
      </c>
      <c r="W43" s="6" t="s">
        <v>608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7661</v>
      </c>
      <c r="B44" s="6" t="s">
        <v>7662</v>
      </c>
      <c r="C44" s="224" t="n">
        <v>6</v>
      </c>
      <c r="D44" s="222"/>
      <c r="E44" s="222"/>
      <c r="F44" s="28" t="s">
        <v>795</v>
      </c>
      <c r="G44" s="222" t="s">
        <v>7656</v>
      </c>
      <c r="H44" s="28" t="s">
        <v>1233</v>
      </c>
      <c r="I44" s="28" t="s">
        <v>1211</v>
      </c>
      <c r="J44" s="6" t="s">
        <v>7643</v>
      </c>
      <c r="K44" s="222" t="n">
        <v>2</v>
      </c>
      <c r="L44" s="222" t="s">
        <v>6461</v>
      </c>
      <c r="M44" s="6" t="s">
        <v>7644</v>
      </c>
      <c r="N44" s="222" t="s">
        <v>6474</v>
      </c>
      <c r="O44" s="28" t="s">
        <v>6464</v>
      </c>
      <c r="P44" s="28" t="s">
        <v>608</v>
      </c>
      <c r="Q44" s="28" t="s">
        <v>7645</v>
      </c>
      <c r="R44" s="28" t="s">
        <v>608</v>
      </c>
      <c r="S44" s="28" t="s">
        <v>608</v>
      </c>
      <c r="T44" s="28" t="s">
        <v>608</v>
      </c>
      <c r="U44" s="28" t="s">
        <v>7646</v>
      </c>
      <c r="V44" s="6" t="s">
        <v>7663</v>
      </c>
      <c r="W44" s="6" t="s">
        <v>608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7664</v>
      </c>
      <c r="B45" s="6" t="s">
        <v>7665</v>
      </c>
      <c r="C45" s="224" t="n">
        <v>2.5</v>
      </c>
      <c r="D45" s="222"/>
      <c r="E45" s="222"/>
      <c r="F45" s="28" t="s">
        <v>795</v>
      </c>
      <c r="G45" s="222" t="s">
        <v>7666</v>
      </c>
      <c r="H45" s="28" t="s">
        <v>1233</v>
      </c>
      <c r="I45" s="28" t="s">
        <v>1211</v>
      </c>
      <c r="J45" s="6" t="s">
        <v>7643</v>
      </c>
      <c r="K45" s="222" t="n">
        <v>2</v>
      </c>
      <c r="L45" s="222" t="s">
        <v>6461</v>
      </c>
      <c r="M45" s="6" t="s">
        <v>7644</v>
      </c>
      <c r="N45" s="222" t="s">
        <v>6474</v>
      </c>
      <c r="O45" s="28" t="s">
        <v>6510</v>
      </c>
      <c r="P45" s="28" t="s">
        <v>608</v>
      </c>
      <c r="Q45" s="28" t="s">
        <v>7645</v>
      </c>
      <c r="R45" s="28" t="s">
        <v>608</v>
      </c>
      <c r="S45" s="28" t="s">
        <v>608</v>
      </c>
      <c r="T45" s="28" t="s">
        <v>608</v>
      </c>
      <c r="U45" s="28" t="s">
        <v>7646</v>
      </c>
      <c r="V45" s="6" t="s">
        <v>608</v>
      </c>
      <c r="W45" s="19" t="s">
        <v>7667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7668</v>
      </c>
      <c r="B46" s="6" t="s">
        <v>7669</v>
      </c>
      <c r="C46" s="224" t="n">
        <v>7.5</v>
      </c>
      <c r="D46" s="222"/>
      <c r="E46" s="222"/>
      <c r="F46" s="28" t="s">
        <v>795</v>
      </c>
      <c r="G46" s="222" t="s">
        <v>7666</v>
      </c>
      <c r="H46" s="28" t="s">
        <v>1233</v>
      </c>
      <c r="I46" s="28" t="s">
        <v>1211</v>
      </c>
      <c r="J46" s="6" t="s">
        <v>7643</v>
      </c>
      <c r="K46" s="222" t="n">
        <v>2</v>
      </c>
      <c r="L46" s="222" t="s">
        <v>6461</v>
      </c>
      <c r="M46" s="6" t="s">
        <v>7644</v>
      </c>
      <c r="N46" s="222" t="s">
        <v>6474</v>
      </c>
      <c r="O46" s="28" t="s">
        <v>6510</v>
      </c>
      <c r="P46" s="28" t="s">
        <v>608</v>
      </c>
      <c r="Q46" s="28" t="s">
        <v>7645</v>
      </c>
      <c r="R46" s="28" t="s">
        <v>608</v>
      </c>
      <c r="S46" s="28" t="s">
        <v>608</v>
      </c>
      <c r="T46" s="28" t="s">
        <v>608</v>
      </c>
      <c r="U46" s="28" t="s">
        <v>7646</v>
      </c>
      <c r="V46" s="6" t="s">
        <v>608</v>
      </c>
      <c r="W46" s="19" t="s">
        <v>7667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7670</v>
      </c>
      <c r="B47" s="6" t="s">
        <v>7671</v>
      </c>
      <c r="C47" s="224" t="n">
        <v>0.3</v>
      </c>
      <c r="D47" s="222"/>
      <c r="E47" s="222"/>
      <c r="F47" s="28" t="s">
        <v>795</v>
      </c>
      <c r="G47" s="28" t="s">
        <v>7672</v>
      </c>
      <c r="H47" s="28" t="s">
        <v>1242</v>
      </c>
      <c r="I47" s="28" t="s">
        <v>1214</v>
      </c>
      <c r="J47" s="6" t="s">
        <v>7643</v>
      </c>
      <c r="K47" s="222" t="n">
        <v>2</v>
      </c>
      <c r="L47" s="222" t="s">
        <v>6461</v>
      </c>
      <c r="M47" s="6" t="s">
        <v>7644</v>
      </c>
      <c r="N47" s="222" t="s">
        <v>6474</v>
      </c>
      <c r="O47" s="28" t="s">
        <v>6464</v>
      </c>
      <c r="P47" s="28" t="s">
        <v>608</v>
      </c>
      <c r="Q47" s="28" t="s">
        <v>7645</v>
      </c>
      <c r="R47" s="28" t="s">
        <v>608</v>
      </c>
      <c r="S47" s="28" t="s">
        <v>608</v>
      </c>
      <c r="T47" s="28" t="s">
        <v>608</v>
      </c>
      <c r="U47" s="28" t="s">
        <v>7646</v>
      </c>
      <c r="V47" s="6" t="s">
        <v>7673</v>
      </c>
      <c r="W47" s="6" t="s">
        <v>608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7674</v>
      </c>
      <c r="B48" s="6" t="s">
        <v>7675</v>
      </c>
      <c r="C48" s="224" t="n">
        <v>1.2</v>
      </c>
      <c r="D48" s="222"/>
      <c r="E48" s="222"/>
      <c r="F48" s="28" t="s">
        <v>795</v>
      </c>
      <c r="G48" s="28" t="s">
        <v>7672</v>
      </c>
      <c r="H48" s="28" t="s">
        <v>1242</v>
      </c>
      <c r="I48" s="28" t="s">
        <v>1214</v>
      </c>
      <c r="J48" s="6" t="s">
        <v>7643</v>
      </c>
      <c r="K48" s="222" t="n">
        <v>2</v>
      </c>
      <c r="L48" s="222" t="s">
        <v>6461</v>
      </c>
      <c r="M48" s="6" t="s">
        <v>7644</v>
      </c>
      <c r="N48" s="222" t="s">
        <v>6474</v>
      </c>
      <c r="O48" s="28" t="s">
        <v>6464</v>
      </c>
      <c r="P48" s="28" t="s">
        <v>608</v>
      </c>
      <c r="Q48" s="28" t="s">
        <v>7645</v>
      </c>
      <c r="R48" s="28" t="s">
        <v>608</v>
      </c>
      <c r="S48" s="28" t="s">
        <v>608</v>
      </c>
      <c r="T48" s="28" t="s">
        <v>608</v>
      </c>
      <c r="U48" s="28" t="s">
        <v>7646</v>
      </c>
      <c r="V48" s="6" t="s">
        <v>7676</v>
      </c>
      <c r="W48" s="6" t="s">
        <v>608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7677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6436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0" t="s">
        <v>6451</v>
      </c>
      <c r="Y4" s="220" t="s">
        <v>6452</v>
      </c>
      <c r="Z4" s="220" t="s">
        <v>6453</v>
      </c>
      <c r="AH4" s="81" t="s">
        <v>6454</v>
      </c>
    </row>
    <row r="5" customFormat="false" ht="29.25" hidden="false" customHeight="true" outlineLevel="0" collapsed="false">
      <c r="A5" s="28" t="s">
        <v>7678</v>
      </c>
      <c r="B5" s="6" t="s">
        <v>7679</v>
      </c>
      <c r="C5" s="224" t="n">
        <v>53</v>
      </c>
      <c r="D5" s="222"/>
      <c r="E5" s="222"/>
      <c r="F5" s="222" t="s">
        <v>1649</v>
      </c>
      <c r="G5" s="28" t="s">
        <v>1207</v>
      </c>
      <c r="H5" s="28" t="s">
        <v>1206</v>
      </c>
      <c r="I5" s="28" t="s">
        <v>1211</v>
      </c>
      <c r="J5" s="6" t="s">
        <v>7680</v>
      </c>
      <c r="K5" s="222" t="n">
        <v>2</v>
      </c>
      <c r="L5" s="222" t="s">
        <v>6568</v>
      </c>
      <c r="M5" s="6" t="s">
        <v>7681</v>
      </c>
      <c r="N5" s="222" t="s">
        <v>6474</v>
      </c>
      <c r="O5" s="28" t="s">
        <v>6464</v>
      </c>
      <c r="P5" s="28" t="s">
        <v>608</v>
      </c>
      <c r="Q5" s="28" t="s">
        <v>7682</v>
      </c>
      <c r="R5" s="28" t="s">
        <v>608</v>
      </c>
      <c r="S5" s="28" t="s">
        <v>608</v>
      </c>
      <c r="T5" s="28" t="s">
        <v>608</v>
      </c>
      <c r="U5" s="28" t="s">
        <v>7683</v>
      </c>
      <c r="V5" s="6" t="s">
        <v>7684</v>
      </c>
      <c r="W5" s="6" t="s">
        <v>608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7685</v>
      </c>
      <c r="B6" s="6" t="s">
        <v>7686</v>
      </c>
      <c r="C6" s="224" t="n">
        <v>53</v>
      </c>
      <c r="D6" s="222"/>
      <c r="E6" s="222"/>
      <c r="F6" s="222" t="s">
        <v>1649</v>
      </c>
      <c r="G6" s="28" t="s">
        <v>1207</v>
      </c>
      <c r="H6" s="28" t="s">
        <v>1209</v>
      </c>
      <c r="I6" s="28" t="s">
        <v>1211</v>
      </c>
      <c r="J6" s="6" t="s">
        <v>7680</v>
      </c>
      <c r="K6" s="222" t="n">
        <v>2</v>
      </c>
      <c r="L6" s="222" t="s">
        <v>6568</v>
      </c>
      <c r="M6" s="6" t="s">
        <v>7681</v>
      </c>
      <c r="N6" s="222" t="s">
        <v>6474</v>
      </c>
      <c r="O6" s="28" t="s">
        <v>6464</v>
      </c>
      <c r="P6" s="28" t="s">
        <v>608</v>
      </c>
      <c r="Q6" s="28" t="s">
        <v>7682</v>
      </c>
      <c r="R6" s="28" t="s">
        <v>608</v>
      </c>
      <c r="S6" s="28" t="s">
        <v>608</v>
      </c>
      <c r="T6" s="28" t="s">
        <v>608</v>
      </c>
      <c r="U6" s="28" t="s">
        <v>7683</v>
      </c>
      <c r="V6" s="6" t="s">
        <v>7687</v>
      </c>
      <c r="W6" s="6" t="s">
        <v>608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7688</v>
      </c>
      <c r="B7" s="6" t="s">
        <v>7689</v>
      </c>
      <c r="C7" s="224" t="n">
        <v>51</v>
      </c>
      <c r="D7" s="222"/>
      <c r="E7" s="222"/>
      <c r="F7" s="222" t="s">
        <v>1649</v>
      </c>
      <c r="G7" s="28" t="s">
        <v>1207</v>
      </c>
      <c r="H7" s="28" t="s">
        <v>1213</v>
      </c>
      <c r="I7" s="28" t="s">
        <v>1211</v>
      </c>
      <c r="J7" s="6" t="s">
        <v>7680</v>
      </c>
      <c r="K7" s="222" t="n">
        <v>2</v>
      </c>
      <c r="L7" s="222" t="s">
        <v>6568</v>
      </c>
      <c r="M7" s="6" t="s">
        <v>7681</v>
      </c>
      <c r="N7" s="222" t="s">
        <v>6474</v>
      </c>
      <c r="O7" s="28" t="s">
        <v>6464</v>
      </c>
      <c r="P7" s="28" t="s">
        <v>608</v>
      </c>
      <c r="Q7" s="28" t="s">
        <v>7682</v>
      </c>
      <c r="R7" s="28" t="s">
        <v>608</v>
      </c>
      <c r="S7" s="28" t="s">
        <v>608</v>
      </c>
      <c r="T7" s="28" t="s">
        <v>608</v>
      </c>
      <c r="U7" s="28" t="s">
        <v>7683</v>
      </c>
      <c r="V7" s="6" t="s">
        <v>7690</v>
      </c>
      <c r="W7" s="6" t="s">
        <v>608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7691</v>
      </c>
      <c r="B8" s="6" t="s">
        <v>7692</v>
      </c>
      <c r="C8" s="224" t="n">
        <v>47</v>
      </c>
      <c r="D8" s="222"/>
      <c r="E8" s="222"/>
      <c r="F8" s="222" t="s">
        <v>1649</v>
      </c>
      <c r="G8" s="28" t="s">
        <v>1207</v>
      </c>
      <c r="H8" s="28" t="s">
        <v>7307</v>
      </c>
      <c r="I8" s="28" t="s">
        <v>1211</v>
      </c>
      <c r="J8" s="6" t="s">
        <v>7680</v>
      </c>
      <c r="K8" s="222" t="n">
        <v>2</v>
      </c>
      <c r="L8" s="222" t="s">
        <v>6568</v>
      </c>
      <c r="M8" s="6" t="s">
        <v>7681</v>
      </c>
      <c r="N8" s="222" t="s">
        <v>6474</v>
      </c>
      <c r="O8" s="28" t="s">
        <v>6464</v>
      </c>
      <c r="P8" s="28" t="s">
        <v>608</v>
      </c>
      <c r="Q8" s="28" t="s">
        <v>7682</v>
      </c>
      <c r="R8" s="28" t="s">
        <v>608</v>
      </c>
      <c r="S8" s="28" t="s">
        <v>608</v>
      </c>
      <c r="T8" s="28" t="s">
        <v>608</v>
      </c>
      <c r="U8" s="28" t="s">
        <v>7683</v>
      </c>
      <c r="V8" s="6" t="s">
        <v>608</v>
      </c>
      <c r="W8" s="6" t="s">
        <v>608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7693</v>
      </c>
      <c r="B9" s="6" t="s">
        <v>7694</v>
      </c>
      <c r="C9" s="224" t="n">
        <v>42</v>
      </c>
      <c r="D9" s="222"/>
      <c r="E9" s="222"/>
      <c r="F9" s="222" t="s">
        <v>1649</v>
      </c>
      <c r="G9" s="28" t="s">
        <v>1207</v>
      </c>
      <c r="H9" s="28" t="s">
        <v>1231</v>
      </c>
      <c r="I9" s="28" t="s">
        <v>1211</v>
      </c>
      <c r="J9" s="6" t="s">
        <v>7680</v>
      </c>
      <c r="K9" s="222" t="n">
        <v>2</v>
      </c>
      <c r="L9" s="222" t="s">
        <v>6568</v>
      </c>
      <c r="M9" s="6" t="s">
        <v>7681</v>
      </c>
      <c r="N9" s="222" t="s">
        <v>6474</v>
      </c>
      <c r="O9" s="28" t="s">
        <v>6464</v>
      </c>
      <c r="P9" s="28" t="s">
        <v>608</v>
      </c>
      <c r="Q9" s="28" t="s">
        <v>7682</v>
      </c>
      <c r="R9" s="28" t="s">
        <v>608</v>
      </c>
      <c r="S9" s="28" t="s">
        <v>608</v>
      </c>
      <c r="T9" s="28" t="s">
        <v>608</v>
      </c>
      <c r="U9" s="28" t="s">
        <v>7683</v>
      </c>
      <c r="V9" s="6" t="s">
        <v>7695</v>
      </c>
      <c r="W9" s="6" t="s">
        <v>608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5041</v>
      </c>
      <c r="B10" s="6" t="s">
        <v>7696</v>
      </c>
      <c r="C10" s="224" t="n">
        <v>40</v>
      </c>
      <c r="D10" s="222"/>
      <c r="E10" s="222"/>
      <c r="F10" s="222" t="s">
        <v>1649</v>
      </c>
      <c r="G10" s="28" t="s">
        <v>1207</v>
      </c>
      <c r="H10" s="28" t="s">
        <v>7697</v>
      </c>
      <c r="I10" s="28" t="s">
        <v>1211</v>
      </c>
      <c r="J10" s="6" t="s">
        <v>7680</v>
      </c>
      <c r="K10" s="222" t="n">
        <v>2</v>
      </c>
      <c r="L10" s="222" t="s">
        <v>6568</v>
      </c>
      <c r="M10" s="6" t="s">
        <v>7681</v>
      </c>
      <c r="N10" s="222" t="s">
        <v>6474</v>
      </c>
      <c r="O10" s="28" t="s">
        <v>6464</v>
      </c>
      <c r="P10" s="28" t="s">
        <v>608</v>
      </c>
      <c r="Q10" s="28" t="s">
        <v>7682</v>
      </c>
      <c r="R10" s="28" t="s">
        <v>608</v>
      </c>
      <c r="S10" s="28" t="s">
        <v>608</v>
      </c>
      <c r="T10" s="28" t="s">
        <v>608</v>
      </c>
      <c r="U10" s="28" t="s">
        <v>7683</v>
      </c>
      <c r="V10" s="6" t="s">
        <v>7698</v>
      </c>
      <c r="W10" s="19" t="s">
        <v>7699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5034</v>
      </c>
      <c r="B11" s="6" t="s">
        <v>7700</v>
      </c>
      <c r="C11" s="224" t="n">
        <v>36</v>
      </c>
      <c r="D11" s="222"/>
      <c r="E11" s="222"/>
      <c r="F11" s="222" t="s">
        <v>1649</v>
      </c>
      <c r="G11" s="28" t="s">
        <v>1207</v>
      </c>
      <c r="H11" s="28" t="s">
        <v>7701</v>
      </c>
      <c r="I11" s="28" t="s">
        <v>1211</v>
      </c>
      <c r="J11" s="6" t="s">
        <v>7680</v>
      </c>
      <c r="K11" s="222" t="n">
        <v>2</v>
      </c>
      <c r="L11" s="222" t="s">
        <v>6568</v>
      </c>
      <c r="M11" s="6" t="s">
        <v>7681</v>
      </c>
      <c r="N11" s="222" t="s">
        <v>6474</v>
      </c>
      <c r="O11" s="28" t="s">
        <v>6464</v>
      </c>
      <c r="P11" s="28" t="s">
        <v>608</v>
      </c>
      <c r="Q11" s="28" t="s">
        <v>7682</v>
      </c>
      <c r="R11" s="28" t="s">
        <v>608</v>
      </c>
      <c r="S11" s="28" t="s">
        <v>608</v>
      </c>
      <c r="T11" s="28" t="s">
        <v>608</v>
      </c>
      <c r="U11" s="28" t="s">
        <v>7683</v>
      </c>
      <c r="V11" s="6" t="s">
        <v>7702</v>
      </c>
      <c r="W11" s="19" t="s">
        <v>7703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7704</v>
      </c>
      <c r="B12" s="6" t="s">
        <v>7705</v>
      </c>
      <c r="C12" s="224" t="n">
        <v>48</v>
      </c>
      <c r="D12" s="222"/>
      <c r="E12" s="222"/>
      <c r="F12" s="222" t="s">
        <v>1649</v>
      </c>
      <c r="G12" s="28" t="s">
        <v>1201</v>
      </c>
      <c r="H12" s="28" t="s">
        <v>1204</v>
      </c>
      <c r="I12" s="28" t="s">
        <v>1211</v>
      </c>
      <c r="J12" s="6" t="s">
        <v>7706</v>
      </c>
      <c r="K12" s="222" t="n">
        <v>1</v>
      </c>
      <c r="L12" s="222" t="s">
        <v>6568</v>
      </c>
      <c r="M12" s="6" t="s">
        <v>7707</v>
      </c>
      <c r="N12" s="222" t="s">
        <v>6463</v>
      </c>
      <c r="O12" s="28" t="s">
        <v>6464</v>
      </c>
      <c r="P12" s="28" t="s">
        <v>608</v>
      </c>
      <c r="Q12" s="28" t="s">
        <v>7708</v>
      </c>
      <c r="R12" s="28" t="s">
        <v>608</v>
      </c>
      <c r="S12" s="28" t="s">
        <v>6041</v>
      </c>
      <c r="T12" s="28" t="s">
        <v>608</v>
      </c>
      <c r="U12" s="28" t="s">
        <v>7709</v>
      </c>
      <c r="V12" s="6" t="s">
        <v>7710</v>
      </c>
      <c r="W12" s="19" t="s">
        <v>7711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7712</v>
      </c>
      <c r="B13" s="6" t="s">
        <v>7713</v>
      </c>
      <c r="C13" s="224" t="n">
        <v>37</v>
      </c>
      <c r="D13" s="222"/>
      <c r="E13" s="222"/>
      <c r="F13" s="222" t="s">
        <v>1649</v>
      </c>
      <c r="G13" s="28" t="s">
        <v>1201</v>
      </c>
      <c r="H13" s="28" t="s">
        <v>1198</v>
      </c>
      <c r="I13" s="28" t="s">
        <v>1211</v>
      </c>
      <c r="J13" s="6" t="s">
        <v>7706</v>
      </c>
      <c r="K13" s="222" t="n">
        <v>3</v>
      </c>
      <c r="L13" s="222" t="s">
        <v>6568</v>
      </c>
      <c r="M13" s="6" t="s">
        <v>7707</v>
      </c>
      <c r="N13" s="222" t="s">
        <v>7270</v>
      </c>
      <c r="O13" s="28" t="s">
        <v>6464</v>
      </c>
      <c r="P13" s="28" t="s">
        <v>608</v>
      </c>
      <c r="Q13" s="28" t="s">
        <v>7714</v>
      </c>
      <c r="R13" s="28" t="s">
        <v>608</v>
      </c>
      <c r="S13" s="28" t="s">
        <v>608</v>
      </c>
      <c r="T13" s="28" t="s">
        <v>608</v>
      </c>
      <c r="U13" s="28" t="s">
        <v>7709</v>
      </c>
      <c r="V13" s="6" t="s">
        <v>7715</v>
      </c>
      <c r="W13" s="6" t="s">
        <v>608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7716</v>
      </c>
      <c r="B14" s="6" t="s">
        <v>7717</v>
      </c>
      <c r="C14" s="224" t="n">
        <v>39</v>
      </c>
      <c r="D14" s="222"/>
      <c r="E14" s="222"/>
      <c r="F14" s="222" t="s">
        <v>1649</v>
      </c>
      <c r="G14" s="28" t="s">
        <v>1201</v>
      </c>
      <c r="H14" s="28" t="s">
        <v>1220</v>
      </c>
      <c r="I14" s="28" t="s">
        <v>1211</v>
      </c>
      <c r="J14" s="6" t="s">
        <v>7706</v>
      </c>
      <c r="K14" s="222" t="n">
        <v>3</v>
      </c>
      <c r="L14" s="222" t="s">
        <v>6568</v>
      </c>
      <c r="M14" s="6" t="s">
        <v>7707</v>
      </c>
      <c r="N14" s="222" t="s">
        <v>7270</v>
      </c>
      <c r="O14" s="28" t="s">
        <v>6464</v>
      </c>
      <c r="P14" s="28" t="s">
        <v>608</v>
      </c>
      <c r="Q14" s="28" t="s">
        <v>7714</v>
      </c>
      <c r="R14" s="28" t="s">
        <v>608</v>
      </c>
      <c r="S14" s="28" t="s">
        <v>608</v>
      </c>
      <c r="T14" s="28" t="s">
        <v>608</v>
      </c>
      <c r="U14" s="28" t="s">
        <v>7709</v>
      </c>
      <c r="V14" s="6" t="s">
        <v>7718</v>
      </c>
      <c r="W14" s="6" t="s">
        <v>608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7719</v>
      </c>
      <c r="B15" s="6" t="s">
        <v>7720</v>
      </c>
      <c r="C15" s="224" t="n">
        <v>45</v>
      </c>
      <c r="D15" s="222"/>
      <c r="E15" s="222"/>
      <c r="F15" s="222" t="s">
        <v>1649</v>
      </c>
      <c r="G15" s="28" t="s">
        <v>7721</v>
      </c>
      <c r="H15" s="28" t="s">
        <v>1227</v>
      </c>
      <c r="I15" s="28" t="s">
        <v>1211</v>
      </c>
      <c r="J15" s="6" t="s">
        <v>7706</v>
      </c>
      <c r="K15" s="222" t="n">
        <v>1</v>
      </c>
      <c r="L15" s="222" t="s">
        <v>6568</v>
      </c>
      <c r="M15" s="6" t="s">
        <v>7707</v>
      </c>
      <c r="N15" s="222" t="s">
        <v>6463</v>
      </c>
      <c r="O15" s="28" t="s">
        <v>6464</v>
      </c>
      <c r="P15" s="28" t="s">
        <v>608</v>
      </c>
      <c r="Q15" s="28" t="s">
        <v>7722</v>
      </c>
      <c r="R15" s="28" t="s">
        <v>608</v>
      </c>
      <c r="S15" s="28" t="s">
        <v>6041</v>
      </c>
      <c r="T15" s="28" t="s">
        <v>608</v>
      </c>
      <c r="U15" s="28" t="s">
        <v>7709</v>
      </c>
      <c r="V15" s="6" t="s">
        <v>7723</v>
      </c>
      <c r="W15" s="6" t="s">
        <v>7724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5147</v>
      </c>
      <c r="B16" s="6" t="s">
        <v>7725</v>
      </c>
      <c r="C16" s="224" t="n">
        <v>3.5667</v>
      </c>
      <c r="D16" s="222"/>
      <c r="E16" s="222"/>
      <c r="F16" s="222" t="s">
        <v>7726</v>
      </c>
      <c r="G16" s="28" t="s">
        <v>7727</v>
      </c>
      <c r="H16" s="28" t="s">
        <v>1977</v>
      </c>
      <c r="I16" s="28" t="s">
        <v>6471</v>
      </c>
      <c r="J16" s="6" t="s">
        <v>7728</v>
      </c>
      <c r="K16" s="222" t="n">
        <v>2</v>
      </c>
      <c r="L16" s="222" t="s">
        <v>6568</v>
      </c>
      <c r="M16" s="6" t="s">
        <v>7729</v>
      </c>
      <c r="N16" s="222" t="s">
        <v>6474</v>
      </c>
      <c r="O16" s="28" t="s">
        <v>6464</v>
      </c>
      <c r="P16" s="28" t="s">
        <v>608</v>
      </c>
      <c r="Q16" s="28" t="s">
        <v>7730</v>
      </c>
      <c r="R16" s="28" t="s">
        <v>608</v>
      </c>
      <c r="S16" s="28" t="s">
        <v>608</v>
      </c>
      <c r="T16" s="28" t="s">
        <v>608</v>
      </c>
      <c r="U16" s="28" t="s">
        <v>1979</v>
      </c>
      <c r="V16" s="6" t="s">
        <v>7731</v>
      </c>
      <c r="W16" s="6" t="s">
        <v>7732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7733</v>
      </c>
      <c r="B17" s="6" t="s">
        <v>7734</v>
      </c>
      <c r="C17" s="224" t="n">
        <v>0.5333</v>
      </c>
      <c r="D17" s="222"/>
      <c r="E17" s="222"/>
      <c r="F17" s="222" t="s">
        <v>7726</v>
      </c>
      <c r="G17" s="28" t="s">
        <v>7727</v>
      </c>
      <c r="H17" s="28" t="s">
        <v>1977</v>
      </c>
      <c r="I17" s="28" t="s">
        <v>6471</v>
      </c>
      <c r="J17" s="6" t="s">
        <v>7728</v>
      </c>
      <c r="K17" s="222" t="n">
        <v>2</v>
      </c>
      <c r="L17" s="222" t="s">
        <v>6568</v>
      </c>
      <c r="M17" s="6" t="s">
        <v>7729</v>
      </c>
      <c r="N17" s="222" t="s">
        <v>6474</v>
      </c>
      <c r="O17" s="28" t="s">
        <v>6464</v>
      </c>
      <c r="P17" s="28" t="s">
        <v>608</v>
      </c>
      <c r="Q17" s="28" t="s">
        <v>7730</v>
      </c>
      <c r="R17" s="28" t="s">
        <v>608</v>
      </c>
      <c r="S17" s="28" t="s">
        <v>608</v>
      </c>
      <c r="T17" s="28" t="s">
        <v>608</v>
      </c>
      <c r="U17" s="28" t="s">
        <v>1979</v>
      </c>
      <c r="V17" s="6" t="s">
        <v>7735</v>
      </c>
      <c r="W17" s="6" t="s">
        <v>7736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7737</v>
      </c>
      <c r="B18" s="6" t="s">
        <v>7738</v>
      </c>
      <c r="C18" s="224" t="n">
        <v>6.5667</v>
      </c>
      <c r="D18" s="222"/>
      <c r="E18" s="222"/>
      <c r="F18" s="222" t="s">
        <v>7726</v>
      </c>
      <c r="G18" s="28" t="s">
        <v>7739</v>
      </c>
      <c r="H18" s="28" t="s">
        <v>7740</v>
      </c>
      <c r="I18" s="28" t="s">
        <v>6471</v>
      </c>
      <c r="J18" s="6" t="s">
        <v>7728</v>
      </c>
      <c r="K18" s="222" t="n">
        <v>2</v>
      </c>
      <c r="L18" s="222" t="s">
        <v>6568</v>
      </c>
      <c r="M18" s="6" t="s">
        <v>7729</v>
      </c>
      <c r="N18" s="222" t="s">
        <v>6474</v>
      </c>
      <c r="O18" s="28" t="s">
        <v>6464</v>
      </c>
      <c r="P18" s="28" t="s">
        <v>608</v>
      </c>
      <c r="Q18" s="28" t="s">
        <v>7730</v>
      </c>
      <c r="R18" s="28" t="s">
        <v>608</v>
      </c>
      <c r="S18" s="28" t="s">
        <v>608</v>
      </c>
      <c r="T18" s="28" t="s">
        <v>608</v>
      </c>
      <c r="U18" s="28" t="s">
        <v>1979</v>
      </c>
      <c r="V18" s="6" t="s">
        <v>7741</v>
      </c>
      <c r="W18" s="6" t="s">
        <v>608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7742</v>
      </c>
      <c r="B19" s="6" t="s">
        <v>7743</v>
      </c>
      <c r="C19" s="224" t="n">
        <v>0.9167</v>
      </c>
      <c r="D19" s="222"/>
      <c r="E19" s="222"/>
      <c r="F19" s="222" t="s">
        <v>7726</v>
      </c>
      <c r="G19" s="28" t="s">
        <v>7739</v>
      </c>
      <c r="H19" s="28" t="s">
        <v>7740</v>
      </c>
      <c r="I19" s="28" t="s">
        <v>6471</v>
      </c>
      <c r="J19" s="6" t="s">
        <v>7728</v>
      </c>
      <c r="K19" s="222" t="n">
        <v>2</v>
      </c>
      <c r="L19" s="222" t="s">
        <v>6568</v>
      </c>
      <c r="M19" s="6" t="s">
        <v>7729</v>
      </c>
      <c r="N19" s="222" t="s">
        <v>6474</v>
      </c>
      <c r="O19" s="28" t="s">
        <v>6464</v>
      </c>
      <c r="P19" s="28" t="s">
        <v>608</v>
      </c>
      <c r="Q19" s="28" t="s">
        <v>7730</v>
      </c>
      <c r="R19" s="28" t="s">
        <v>608</v>
      </c>
      <c r="S19" s="28" t="s">
        <v>608</v>
      </c>
      <c r="T19" s="28" t="s">
        <v>608</v>
      </c>
      <c r="U19" s="28" t="s">
        <v>1979</v>
      </c>
      <c r="V19" s="6" t="s">
        <v>7744</v>
      </c>
      <c r="W19" s="6" t="s">
        <v>608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7745</v>
      </c>
      <c r="B20" s="6" t="s">
        <v>7746</v>
      </c>
      <c r="C20" s="224" t="n">
        <v>5.7</v>
      </c>
      <c r="D20" s="222"/>
      <c r="E20" s="222"/>
      <c r="F20" s="222" t="s">
        <v>7726</v>
      </c>
      <c r="G20" s="28" t="s">
        <v>7739</v>
      </c>
      <c r="H20" s="28" t="s">
        <v>7747</v>
      </c>
      <c r="I20" s="28" t="s">
        <v>6471</v>
      </c>
      <c r="J20" s="6" t="s">
        <v>7728</v>
      </c>
      <c r="K20" s="222" t="n">
        <v>2</v>
      </c>
      <c r="L20" s="222" t="s">
        <v>6568</v>
      </c>
      <c r="M20" s="6" t="s">
        <v>7729</v>
      </c>
      <c r="N20" s="222" t="s">
        <v>6474</v>
      </c>
      <c r="O20" s="28" t="s">
        <v>6464</v>
      </c>
      <c r="P20" s="28" t="s">
        <v>608</v>
      </c>
      <c r="Q20" s="28" t="s">
        <v>7730</v>
      </c>
      <c r="R20" s="28" t="s">
        <v>608</v>
      </c>
      <c r="S20" s="28" t="s">
        <v>608</v>
      </c>
      <c r="T20" s="28" t="s">
        <v>608</v>
      </c>
      <c r="U20" s="28" t="s">
        <v>1979</v>
      </c>
      <c r="V20" s="6" t="s">
        <v>7748</v>
      </c>
      <c r="W20" s="6" t="s">
        <v>608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7749</v>
      </c>
      <c r="B21" s="6" t="s">
        <v>7750</v>
      </c>
      <c r="C21" s="224" t="n">
        <v>0.9</v>
      </c>
      <c r="D21" s="222"/>
      <c r="E21" s="222"/>
      <c r="F21" s="222" t="s">
        <v>7726</v>
      </c>
      <c r="G21" s="28" t="s">
        <v>7739</v>
      </c>
      <c r="H21" s="28" t="s">
        <v>7747</v>
      </c>
      <c r="I21" s="28" t="s">
        <v>6471</v>
      </c>
      <c r="J21" s="6" t="s">
        <v>7728</v>
      </c>
      <c r="K21" s="222" t="n">
        <v>2</v>
      </c>
      <c r="L21" s="222" t="s">
        <v>6568</v>
      </c>
      <c r="M21" s="6" t="s">
        <v>7729</v>
      </c>
      <c r="N21" s="222" t="s">
        <v>6474</v>
      </c>
      <c r="O21" s="28" t="s">
        <v>6464</v>
      </c>
      <c r="P21" s="28" t="s">
        <v>608</v>
      </c>
      <c r="Q21" s="28" t="s">
        <v>7730</v>
      </c>
      <c r="R21" s="28" t="s">
        <v>608</v>
      </c>
      <c r="S21" s="28" t="s">
        <v>608</v>
      </c>
      <c r="T21" s="28" t="s">
        <v>608</v>
      </c>
      <c r="U21" s="28" t="s">
        <v>1979</v>
      </c>
      <c r="V21" s="6" t="s">
        <v>7751</v>
      </c>
      <c r="W21" s="6" t="s">
        <v>608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7752</v>
      </c>
      <c r="B22" s="6" t="s">
        <v>7753</v>
      </c>
      <c r="C22" s="224" t="n">
        <v>5.8333</v>
      </c>
      <c r="D22" s="222"/>
      <c r="E22" s="222"/>
      <c r="F22" s="222" t="s">
        <v>7726</v>
      </c>
      <c r="G22" s="28" t="s">
        <v>7739</v>
      </c>
      <c r="H22" s="28" t="s">
        <v>1982</v>
      </c>
      <c r="I22" s="28" t="s">
        <v>6471</v>
      </c>
      <c r="J22" s="6" t="s">
        <v>7728</v>
      </c>
      <c r="K22" s="222" t="n">
        <v>2</v>
      </c>
      <c r="L22" s="222" t="s">
        <v>6568</v>
      </c>
      <c r="M22" s="6" t="s">
        <v>7729</v>
      </c>
      <c r="N22" s="222" t="s">
        <v>6474</v>
      </c>
      <c r="O22" s="28" t="s">
        <v>6464</v>
      </c>
      <c r="P22" s="28" t="s">
        <v>608</v>
      </c>
      <c r="Q22" s="28" t="s">
        <v>7730</v>
      </c>
      <c r="R22" s="28" t="s">
        <v>608</v>
      </c>
      <c r="S22" s="28" t="s">
        <v>608</v>
      </c>
      <c r="T22" s="28" t="s">
        <v>608</v>
      </c>
      <c r="U22" s="28" t="s">
        <v>1979</v>
      </c>
      <c r="V22" s="6" t="s">
        <v>7754</v>
      </c>
      <c r="W22" s="6" t="s">
        <v>608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7755</v>
      </c>
      <c r="B23" s="6" t="s">
        <v>7756</v>
      </c>
      <c r="C23" s="224" t="n">
        <v>1.5</v>
      </c>
      <c r="D23" s="222"/>
      <c r="E23" s="222"/>
      <c r="F23" s="222" t="s">
        <v>7726</v>
      </c>
      <c r="G23" s="28" t="s">
        <v>7739</v>
      </c>
      <c r="H23" s="28" t="s">
        <v>1982</v>
      </c>
      <c r="I23" s="28" t="s">
        <v>6471</v>
      </c>
      <c r="J23" s="6" t="s">
        <v>7728</v>
      </c>
      <c r="K23" s="222" t="n">
        <v>2</v>
      </c>
      <c r="L23" s="222" t="s">
        <v>6568</v>
      </c>
      <c r="M23" s="6" t="s">
        <v>7729</v>
      </c>
      <c r="N23" s="222" t="s">
        <v>6474</v>
      </c>
      <c r="O23" s="28" t="s">
        <v>6464</v>
      </c>
      <c r="P23" s="28" t="s">
        <v>608</v>
      </c>
      <c r="Q23" s="28" t="s">
        <v>7730</v>
      </c>
      <c r="R23" s="28" t="s">
        <v>608</v>
      </c>
      <c r="S23" s="28" t="s">
        <v>608</v>
      </c>
      <c r="T23" s="28" t="s">
        <v>608</v>
      </c>
      <c r="U23" s="28" t="s">
        <v>1979</v>
      </c>
      <c r="V23" s="6" t="s">
        <v>7757</v>
      </c>
      <c r="W23" s="6" t="s">
        <v>608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5132</v>
      </c>
      <c r="B24" s="6" t="s">
        <v>7758</v>
      </c>
      <c r="C24" s="224" t="n">
        <v>11.3</v>
      </c>
      <c r="D24" s="222"/>
      <c r="E24" s="222"/>
      <c r="F24" s="222" t="s">
        <v>7726</v>
      </c>
      <c r="G24" s="28" t="s">
        <v>7739</v>
      </c>
      <c r="H24" s="28" t="s">
        <v>7307</v>
      </c>
      <c r="I24" s="28" t="s">
        <v>6471</v>
      </c>
      <c r="J24" s="6" t="s">
        <v>7728</v>
      </c>
      <c r="K24" s="222" t="n">
        <v>2</v>
      </c>
      <c r="L24" s="222" t="s">
        <v>6568</v>
      </c>
      <c r="M24" s="6" t="s">
        <v>7729</v>
      </c>
      <c r="N24" s="222" t="s">
        <v>6474</v>
      </c>
      <c r="O24" s="28" t="s">
        <v>6464</v>
      </c>
      <c r="P24" s="28" t="s">
        <v>608</v>
      </c>
      <c r="Q24" s="28" t="s">
        <v>7730</v>
      </c>
      <c r="R24" s="28" t="s">
        <v>608</v>
      </c>
      <c r="S24" s="28" t="s">
        <v>608</v>
      </c>
      <c r="T24" s="28" t="s">
        <v>608</v>
      </c>
      <c r="U24" s="28" t="s">
        <v>1979</v>
      </c>
      <c r="V24" s="6" t="s">
        <v>608</v>
      </c>
      <c r="W24" s="6" t="s">
        <v>7759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5141</v>
      </c>
      <c r="B25" s="6" t="s">
        <v>7760</v>
      </c>
      <c r="C25" s="224" t="n">
        <v>17.4</v>
      </c>
      <c r="D25" s="222"/>
      <c r="E25" s="222"/>
      <c r="F25" s="222" t="s">
        <v>7726</v>
      </c>
      <c r="G25" s="28" t="s">
        <v>7761</v>
      </c>
      <c r="H25" s="28" t="s">
        <v>7762</v>
      </c>
      <c r="I25" s="28" t="s">
        <v>6471</v>
      </c>
      <c r="J25" s="6" t="s">
        <v>7728</v>
      </c>
      <c r="K25" s="222" t="n">
        <v>2</v>
      </c>
      <c r="L25" s="222" t="s">
        <v>6568</v>
      </c>
      <c r="M25" s="6" t="s">
        <v>7729</v>
      </c>
      <c r="N25" s="222" t="s">
        <v>6474</v>
      </c>
      <c r="O25" s="28" t="s">
        <v>6464</v>
      </c>
      <c r="P25" s="28" t="s">
        <v>608</v>
      </c>
      <c r="Q25" s="28" t="s">
        <v>7730</v>
      </c>
      <c r="R25" s="28" t="s">
        <v>608</v>
      </c>
      <c r="S25" s="28" t="s">
        <v>608</v>
      </c>
      <c r="T25" s="28" t="s">
        <v>608</v>
      </c>
      <c r="U25" s="28" t="s">
        <v>1979</v>
      </c>
      <c r="V25" s="6" t="s">
        <v>608</v>
      </c>
      <c r="W25" s="6" t="s">
        <v>608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7763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6436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0" t="s">
        <v>6451</v>
      </c>
      <c r="Y4" s="220" t="s">
        <v>6452</v>
      </c>
      <c r="Z4" s="220" t="s">
        <v>6453</v>
      </c>
      <c r="AH4" s="81" t="s">
        <v>6454</v>
      </c>
    </row>
    <row r="5" customFormat="false" ht="15" hidden="false" customHeight="true" outlineLevel="0" collapsed="false">
      <c r="A5" s="28" t="s">
        <v>4577</v>
      </c>
      <c r="B5" s="6" t="s">
        <v>7764</v>
      </c>
      <c r="C5" s="224" t="n">
        <v>4</v>
      </c>
      <c r="D5" s="222"/>
      <c r="E5" s="222"/>
      <c r="F5" s="28" t="s">
        <v>97</v>
      </c>
      <c r="G5" s="222" t="s">
        <v>7765</v>
      </c>
      <c r="H5" s="28" t="s">
        <v>7766</v>
      </c>
      <c r="I5" s="28" t="s">
        <v>7053</v>
      </c>
      <c r="J5" s="6" t="s">
        <v>7767</v>
      </c>
      <c r="K5" s="222" t="n">
        <v>2</v>
      </c>
      <c r="L5" s="222" t="s">
        <v>6461</v>
      </c>
      <c r="M5" s="6" t="s">
        <v>7768</v>
      </c>
      <c r="N5" s="222" t="s">
        <v>6474</v>
      </c>
      <c r="O5" s="28" t="s">
        <v>6464</v>
      </c>
      <c r="P5" s="28" t="s">
        <v>608</v>
      </c>
      <c r="Q5" s="28" t="s">
        <v>7769</v>
      </c>
      <c r="R5" s="28" t="s">
        <v>608</v>
      </c>
      <c r="S5" s="28" t="s">
        <v>608</v>
      </c>
      <c r="T5" s="28" t="s">
        <v>608</v>
      </c>
      <c r="U5" s="28" t="s">
        <v>7770</v>
      </c>
      <c r="V5" s="6" t="s">
        <v>7771</v>
      </c>
      <c r="W5" s="6" t="s">
        <v>608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4580</v>
      </c>
      <c r="B6" s="6" t="s">
        <v>7772</v>
      </c>
      <c r="C6" s="224" t="n">
        <v>15</v>
      </c>
      <c r="D6" s="222"/>
      <c r="E6" s="222"/>
      <c r="F6" s="28" t="s">
        <v>97</v>
      </c>
      <c r="G6" s="222" t="s">
        <v>6549</v>
      </c>
      <c r="H6" s="28" t="s">
        <v>7766</v>
      </c>
      <c r="I6" s="28" t="s">
        <v>7053</v>
      </c>
      <c r="J6" s="6" t="s">
        <v>7767</v>
      </c>
      <c r="K6" s="222" t="n">
        <v>2</v>
      </c>
      <c r="L6" s="222" t="s">
        <v>6461</v>
      </c>
      <c r="M6" s="6" t="s">
        <v>7768</v>
      </c>
      <c r="N6" s="222" t="s">
        <v>6474</v>
      </c>
      <c r="O6" s="28" t="s">
        <v>6464</v>
      </c>
      <c r="P6" s="28" t="s">
        <v>608</v>
      </c>
      <c r="Q6" s="28" t="s">
        <v>7769</v>
      </c>
      <c r="R6" s="28" t="s">
        <v>608</v>
      </c>
      <c r="S6" s="28" t="s">
        <v>608</v>
      </c>
      <c r="T6" s="28" t="s">
        <v>608</v>
      </c>
      <c r="U6" s="28" t="s">
        <v>7770</v>
      </c>
      <c r="V6" s="6" t="s">
        <v>7773</v>
      </c>
      <c r="W6" s="6" t="s">
        <v>7774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5087</v>
      </c>
      <c r="B7" s="6" t="s">
        <v>7775</v>
      </c>
      <c r="C7" s="224" t="n">
        <v>0.627</v>
      </c>
      <c r="D7" s="222"/>
      <c r="E7" s="222"/>
      <c r="F7" s="28" t="s">
        <v>93</v>
      </c>
      <c r="G7" s="28" t="s">
        <v>7776</v>
      </c>
      <c r="H7" s="28" t="s">
        <v>1206</v>
      </c>
      <c r="I7" s="28" t="s">
        <v>1211</v>
      </c>
      <c r="J7" s="6" t="s">
        <v>7777</v>
      </c>
      <c r="K7" s="222" t="n">
        <v>2</v>
      </c>
      <c r="L7" s="222" t="s">
        <v>6461</v>
      </c>
      <c r="M7" s="6" t="s">
        <v>7778</v>
      </c>
      <c r="N7" s="222" t="s">
        <v>6474</v>
      </c>
      <c r="O7" s="28" t="s">
        <v>6464</v>
      </c>
      <c r="P7" s="28" t="s">
        <v>608</v>
      </c>
      <c r="Q7" s="28" t="s">
        <v>7779</v>
      </c>
      <c r="R7" s="28" t="s">
        <v>608</v>
      </c>
      <c r="S7" s="28" t="s">
        <v>608</v>
      </c>
      <c r="T7" s="28" t="s">
        <v>608</v>
      </c>
      <c r="U7" s="28" t="s">
        <v>1960</v>
      </c>
      <c r="V7" s="6" t="s">
        <v>7780</v>
      </c>
      <c r="W7" s="6" t="s">
        <v>608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7781</v>
      </c>
      <c r="B8" s="6" t="s">
        <v>7782</v>
      </c>
      <c r="C8" s="224" t="n">
        <v>26098</v>
      </c>
      <c r="D8" s="222"/>
      <c r="E8" s="222"/>
      <c r="F8" s="28" t="s">
        <v>423</v>
      </c>
      <c r="G8" s="222" t="s">
        <v>119</v>
      </c>
      <c r="H8" s="28" t="s">
        <v>1206</v>
      </c>
      <c r="I8" s="28" t="s">
        <v>1211</v>
      </c>
      <c r="J8" s="6" t="s">
        <v>7777</v>
      </c>
      <c r="K8" s="222" t="n">
        <v>2</v>
      </c>
      <c r="L8" s="222" t="s">
        <v>6461</v>
      </c>
      <c r="M8" s="6" t="s">
        <v>7778</v>
      </c>
      <c r="N8" s="222" t="s">
        <v>6474</v>
      </c>
      <c r="O8" s="28" t="s">
        <v>6464</v>
      </c>
      <c r="P8" s="28" t="s">
        <v>608</v>
      </c>
      <c r="Q8" s="28" t="s">
        <v>7779</v>
      </c>
      <c r="R8" s="28" t="s">
        <v>608</v>
      </c>
      <c r="S8" s="28" t="s">
        <v>608</v>
      </c>
      <c r="T8" s="28" t="s">
        <v>608</v>
      </c>
      <c r="U8" s="28" t="s">
        <v>1960</v>
      </c>
      <c r="V8" s="6" t="s">
        <v>7783</v>
      </c>
      <c r="W8" s="6" t="s">
        <v>608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7784</v>
      </c>
      <c r="B9" s="6" t="s">
        <v>7785</v>
      </c>
      <c r="C9" s="224" t="n">
        <v>0.986</v>
      </c>
      <c r="D9" s="222"/>
      <c r="E9" s="222"/>
      <c r="F9" s="28" t="s">
        <v>93</v>
      </c>
      <c r="G9" s="222" t="s">
        <v>119</v>
      </c>
      <c r="H9" s="28" t="s">
        <v>1206</v>
      </c>
      <c r="I9" s="28" t="s">
        <v>1211</v>
      </c>
      <c r="J9" s="6" t="s">
        <v>7777</v>
      </c>
      <c r="K9" s="222" t="n">
        <v>2</v>
      </c>
      <c r="L9" s="222" t="s">
        <v>6461</v>
      </c>
      <c r="M9" s="6" t="s">
        <v>7778</v>
      </c>
      <c r="N9" s="222" t="s">
        <v>6474</v>
      </c>
      <c r="O9" s="28" t="s">
        <v>6464</v>
      </c>
      <c r="P9" s="28" t="s">
        <v>608</v>
      </c>
      <c r="Q9" s="28" t="s">
        <v>7779</v>
      </c>
      <c r="R9" s="28" t="s">
        <v>608</v>
      </c>
      <c r="S9" s="28" t="s">
        <v>608</v>
      </c>
      <c r="T9" s="28" t="s">
        <v>608</v>
      </c>
      <c r="U9" s="28" t="s">
        <v>1960</v>
      </c>
      <c r="V9" s="6" t="s">
        <v>7786</v>
      </c>
      <c r="W9" s="6" t="s">
        <v>608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7787</v>
      </c>
      <c r="B10" s="6" t="s">
        <v>7788</v>
      </c>
      <c r="C10" s="224" t="n">
        <v>17332</v>
      </c>
      <c r="D10" s="222"/>
      <c r="E10" s="222"/>
      <c r="F10" s="28" t="s">
        <v>423</v>
      </c>
      <c r="G10" s="222" t="s">
        <v>119</v>
      </c>
      <c r="H10" s="28" t="s">
        <v>1206</v>
      </c>
      <c r="I10" s="28" t="s">
        <v>1211</v>
      </c>
      <c r="J10" s="6" t="s">
        <v>7777</v>
      </c>
      <c r="K10" s="222" t="n">
        <v>2</v>
      </c>
      <c r="L10" s="222" t="s">
        <v>6461</v>
      </c>
      <c r="M10" s="6" t="s">
        <v>7778</v>
      </c>
      <c r="N10" s="222" t="s">
        <v>6474</v>
      </c>
      <c r="O10" s="28" t="s">
        <v>6464</v>
      </c>
      <c r="P10" s="28" t="s">
        <v>608</v>
      </c>
      <c r="Q10" s="28" t="s">
        <v>7779</v>
      </c>
      <c r="R10" s="28" t="s">
        <v>608</v>
      </c>
      <c r="S10" s="28" t="s">
        <v>608</v>
      </c>
      <c r="T10" s="28" t="s">
        <v>608</v>
      </c>
      <c r="U10" s="28" t="s">
        <v>1960</v>
      </c>
      <c r="V10" s="6" t="s">
        <v>7789</v>
      </c>
      <c r="W10" s="6" t="s">
        <v>608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7790</v>
      </c>
      <c r="B11" s="6" t="s">
        <v>7791</v>
      </c>
      <c r="C11" s="224" t="n">
        <v>0.999</v>
      </c>
      <c r="D11" s="222"/>
      <c r="E11" s="222"/>
      <c r="F11" s="28" t="s">
        <v>93</v>
      </c>
      <c r="G11" s="28" t="s">
        <v>7792</v>
      </c>
      <c r="H11" s="28" t="s">
        <v>1206</v>
      </c>
      <c r="I11" s="28" t="s">
        <v>1211</v>
      </c>
      <c r="J11" s="6" t="s">
        <v>7777</v>
      </c>
      <c r="K11" s="222" t="n">
        <v>2</v>
      </c>
      <c r="L11" s="222" t="s">
        <v>6461</v>
      </c>
      <c r="M11" s="6" t="s">
        <v>7778</v>
      </c>
      <c r="N11" s="222" t="s">
        <v>6474</v>
      </c>
      <c r="O11" s="28" t="s">
        <v>6464</v>
      </c>
      <c r="P11" s="28" t="s">
        <v>608</v>
      </c>
      <c r="Q11" s="28" t="s">
        <v>7779</v>
      </c>
      <c r="R11" s="28" t="s">
        <v>608</v>
      </c>
      <c r="S11" s="28" t="s">
        <v>608</v>
      </c>
      <c r="T11" s="28" t="s">
        <v>608</v>
      </c>
      <c r="U11" s="28" t="s">
        <v>1960</v>
      </c>
      <c r="V11" s="6" t="s">
        <v>7793</v>
      </c>
      <c r="W11" s="6" t="s">
        <v>608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7794</v>
      </c>
      <c r="B12" s="6" t="s">
        <v>7795</v>
      </c>
      <c r="C12" s="224" t="n">
        <v>18817</v>
      </c>
      <c r="D12" s="222"/>
      <c r="E12" s="222"/>
      <c r="F12" s="28" t="s">
        <v>423</v>
      </c>
      <c r="G12" s="222" t="s">
        <v>119</v>
      </c>
      <c r="H12" s="28" t="s">
        <v>1206</v>
      </c>
      <c r="I12" s="28" t="s">
        <v>1211</v>
      </c>
      <c r="J12" s="6" t="s">
        <v>7777</v>
      </c>
      <c r="K12" s="222" t="n">
        <v>2</v>
      </c>
      <c r="L12" s="222" t="s">
        <v>6461</v>
      </c>
      <c r="M12" s="6" t="s">
        <v>7778</v>
      </c>
      <c r="N12" s="222" t="s">
        <v>6474</v>
      </c>
      <c r="O12" s="28" t="s">
        <v>6464</v>
      </c>
      <c r="P12" s="28" t="s">
        <v>608</v>
      </c>
      <c r="Q12" s="28" t="s">
        <v>7779</v>
      </c>
      <c r="R12" s="28" t="s">
        <v>608</v>
      </c>
      <c r="S12" s="28" t="s">
        <v>608</v>
      </c>
      <c r="T12" s="28" t="s">
        <v>608</v>
      </c>
      <c r="U12" s="28" t="s">
        <v>1960</v>
      </c>
      <c r="V12" s="6" t="s">
        <v>7796</v>
      </c>
      <c r="W12" s="19" t="s">
        <v>7797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7798</v>
      </c>
      <c r="B13" s="6" t="s">
        <v>7799</v>
      </c>
      <c r="C13" s="224" t="n">
        <v>19302</v>
      </c>
      <c r="D13" s="222"/>
      <c r="E13" s="222"/>
      <c r="F13" s="28" t="s">
        <v>423</v>
      </c>
      <c r="G13" s="222" t="s">
        <v>119</v>
      </c>
      <c r="H13" s="28" t="s">
        <v>1206</v>
      </c>
      <c r="I13" s="28" t="s">
        <v>1211</v>
      </c>
      <c r="J13" s="6" t="s">
        <v>7777</v>
      </c>
      <c r="K13" s="222" t="n">
        <v>2</v>
      </c>
      <c r="L13" s="222" t="s">
        <v>6461</v>
      </c>
      <c r="M13" s="6" t="s">
        <v>7778</v>
      </c>
      <c r="N13" s="222" t="s">
        <v>6474</v>
      </c>
      <c r="O13" s="28" t="s">
        <v>6510</v>
      </c>
      <c r="P13" s="28" t="s">
        <v>608</v>
      </c>
      <c r="Q13" s="28" t="s">
        <v>7779</v>
      </c>
      <c r="R13" s="28" t="s">
        <v>608</v>
      </c>
      <c r="S13" s="28" t="s">
        <v>608</v>
      </c>
      <c r="T13" s="28" t="s">
        <v>608</v>
      </c>
      <c r="U13" s="28" t="s">
        <v>1960</v>
      </c>
      <c r="V13" s="6" t="s">
        <v>608</v>
      </c>
      <c r="W13" s="19" t="s">
        <v>7800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7801</v>
      </c>
      <c r="B14" s="6" t="s">
        <v>7802</v>
      </c>
      <c r="C14" s="224" t="n">
        <v>0.51</v>
      </c>
      <c r="D14" s="222"/>
      <c r="E14" s="222"/>
      <c r="F14" s="28" t="s">
        <v>97</v>
      </c>
      <c r="G14" s="222" t="s">
        <v>7803</v>
      </c>
      <c r="H14" s="28" t="s">
        <v>1206</v>
      </c>
      <c r="I14" s="28" t="s">
        <v>1211</v>
      </c>
      <c r="J14" s="6" t="s">
        <v>7777</v>
      </c>
      <c r="K14" s="222" t="n">
        <v>2</v>
      </c>
      <c r="L14" s="222" t="s">
        <v>6461</v>
      </c>
      <c r="M14" s="6" t="s">
        <v>7778</v>
      </c>
      <c r="N14" s="222" t="s">
        <v>6474</v>
      </c>
      <c r="O14" s="28" t="s">
        <v>6464</v>
      </c>
      <c r="P14" s="28" t="s">
        <v>608</v>
      </c>
      <c r="Q14" s="28" t="s">
        <v>7779</v>
      </c>
      <c r="R14" s="28" t="s">
        <v>608</v>
      </c>
      <c r="S14" s="28" t="s">
        <v>608</v>
      </c>
      <c r="T14" s="28" t="s">
        <v>608</v>
      </c>
      <c r="U14" s="28" t="s">
        <v>1960</v>
      </c>
      <c r="V14" s="6" t="s">
        <v>7804</v>
      </c>
      <c r="W14" s="6" t="s">
        <v>608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7805</v>
      </c>
      <c r="B15" s="6" t="s">
        <v>7806</v>
      </c>
      <c r="C15" s="224" t="n">
        <v>3.66</v>
      </c>
      <c r="D15" s="222"/>
      <c r="E15" s="222"/>
      <c r="F15" s="28" t="s">
        <v>97</v>
      </c>
      <c r="G15" s="28" t="s">
        <v>608</v>
      </c>
      <c r="H15" s="28" t="s">
        <v>1206</v>
      </c>
      <c r="I15" s="28" t="s">
        <v>1211</v>
      </c>
      <c r="J15" s="6" t="s">
        <v>7777</v>
      </c>
      <c r="K15" s="222" t="n">
        <v>2</v>
      </c>
      <c r="L15" s="222" t="s">
        <v>6461</v>
      </c>
      <c r="M15" s="6" t="s">
        <v>7778</v>
      </c>
      <c r="N15" s="222" t="s">
        <v>6474</v>
      </c>
      <c r="O15" s="28" t="s">
        <v>6464</v>
      </c>
      <c r="P15" s="28" t="s">
        <v>608</v>
      </c>
      <c r="Q15" s="28" t="s">
        <v>7779</v>
      </c>
      <c r="R15" s="28" t="s">
        <v>608</v>
      </c>
      <c r="S15" s="28" t="s">
        <v>608</v>
      </c>
      <c r="T15" s="28" t="s">
        <v>608</v>
      </c>
      <c r="U15" s="28" t="s">
        <v>1960</v>
      </c>
      <c r="V15" s="6" t="s">
        <v>608</v>
      </c>
      <c r="W15" s="6" t="s">
        <v>608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7807</v>
      </c>
      <c r="B16" s="6" t="s">
        <v>7808</v>
      </c>
      <c r="C16" s="224" t="n">
        <v>0.302</v>
      </c>
      <c r="D16" s="222"/>
      <c r="E16" s="222"/>
      <c r="F16" s="28" t="s">
        <v>93</v>
      </c>
      <c r="G16" s="28" t="s">
        <v>7809</v>
      </c>
      <c r="H16" s="28" t="s">
        <v>1213</v>
      </c>
      <c r="I16" s="28" t="s">
        <v>1211</v>
      </c>
      <c r="J16" s="6" t="s">
        <v>7777</v>
      </c>
      <c r="K16" s="222" t="n">
        <v>2</v>
      </c>
      <c r="L16" s="222" t="s">
        <v>6461</v>
      </c>
      <c r="M16" s="6" t="s">
        <v>7778</v>
      </c>
      <c r="N16" s="222" t="s">
        <v>6474</v>
      </c>
      <c r="O16" s="28" t="s">
        <v>6464</v>
      </c>
      <c r="P16" s="28" t="s">
        <v>608</v>
      </c>
      <c r="Q16" s="28" t="s">
        <v>7779</v>
      </c>
      <c r="R16" s="28" t="s">
        <v>608</v>
      </c>
      <c r="S16" s="28" t="s">
        <v>608</v>
      </c>
      <c r="T16" s="28" t="s">
        <v>608</v>
      </c>
      <c r="U16" s="28" t="s">
        <v>1960</v>
      </c>
      <c r="V16" s="6" t="s">
        <v>7810</v>
      </c>
      <c r="W16" s="6" t="s">
        <v>608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7811</v>
      </c>
      <c r="B17" s="6" t="s">
        <v>7812</v>
      </c>
      <c r="C17" s="224" t="n">
        <v>4.72</v>
      </c>
      <c r="D17" s="222"/>
      <c r="E17" s="222"/>
      <c r="F17" s="28" t="s">
        <v>7813</v>
      </c>
      <c r="G17" s="28" t="s">
        <v>7814</v>
      </c>
      <c r="H17" s="28" t="s">
        <v>1206</v>
      </c>
      <c r="I17" s="28" t="s">
        <v>1211</v>
      </c>
      <c r="J17" s="6" t="s">
        <v>7815</v>
      </c>
      <c r="K17" s="222" t="n">
        <v>2</v>
      </c>
      <c r="L17" s="222" t="s">
        <v>6568</v>
      </c>
      <c r="M17" s="6" t="s">
        <v>7816</v>
      </c>
      <c r="N17" s="222" t="s">
        <v>6474</v>
      </c>
      <c r="O17" s="28" t="s">
        <v>6464</v>
      </c>
      <c r="P17" s="28" t="s">
        <v>608</v>
      </c>
      <c r="Q17" s="28" t="s">
        <v>7817</v>
      </c>
      <c r="R17" s="28" t="s">
        <v>608</v>
      </c>
      <c r="S17" s="28" t="s">
        <v>608</v>
      </c>
      <c r="T17" s="28" t="s">
        <v>608</v>
      </c>
      <c r="U17" s="28" t="s">
        <v>7818</v>
      </c>
      <c r="V17" s="6" t="s">
        <v>608</v>
      </c>
      <c r="W17" s="19" t="s">
        <v>7819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7820</v>
      </c>
      <c r="B18" s="6" t="s">
        <v>7821</v>
      </c>
      <c r="C18" s="224" t="n">
        <v>9.18</v>
      </c>
      <c r="D18" s="222"/>
      <c r="E18" s="222"/>
      <c r="F18" s="28" t="s">
        <v>7813</v>
      </c>
      <c r="G18" s="28" t="s">
        <v>7814</v>
      </c>
      <c r="H18" s="28" t="s">
        <v>1209</v>
      </c>
      <c r="I18" s="28" t="s">
        <v>1211</v>
      </c>
      <c r="J18" s="6" t="s">
        <v>7815</v>
      </c>
      <c r="K18" s="222" t="n">
        <v>2</v>
      </c>
      <c r="L18" s="222" t="s">
        <v>6568</v>
      </c>
      <c r="M18" s="6" t="s">
        <v>7816</v>
      </c>
      <c r="N18" s="222" t="s">
        <v>6474</v>
      </c>
      <c r="O18" s="28" t="s">
        <v>6464</v>
      </c>
      <c r="P18" s="28" t="s">
        <v>608</v>
      </c>
      <c r="Q18" s="28" t="s">
        <v>7817</v>
      </c>
      <c r="R18" s="28" t="s">
        <v>608</v>
      </c>
      <c r="S18" s="28" t="s">
        <v>608</v>
      </c>
      <c r="T18" s="28" t="s">
        <v>608</v>
      </c>
      <c r="U18" s="28" t="s">
        <v>7818</v>
      </c>
      <c r="V18" s="6" t="s">
        <v>608</v>
      </c>
      <c r="W18" s="19" t="s">
        <v>7819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7822</v>
      </c>
      <c r="B19" s="6" t="s">
        <v>7823</v>
      </c>
      <c r="C19" s="224" t="n">
        <v>1</v>
      </c>
      <c r="D19" s="222"/>
      <c r="E19" s="222"/>
      <c r="F19" s="28" t="s">
        <v>93</v>
      </c>
      <c r="G19" s="222" t="s">
        <v>7824</v>
      </c>
      <c r="H19" s="28" t="s">
        <v>1213</v>
      </c>
      <c r="I19" s="28" t="s">
        <v>1211</v>
      </c>
      <c r="J19" s="6" t="s">
        <v>7825</v>
      </c>
      <c r="K19" s="222" t="n">
        <v>2</v>
      </c>
      <c r="L19" s="222" t="s">
        <v>6461</v>
      </c>
      <c r="M19" s="6" t="s">
        <v>7826</v>
      </c>
      <c r="N19" s="222" t="s">
        <v>6474</v>
      </c>
      <c r="O19" s="28" t="s">
        <v>6464</v>
      </c>
      <c r="P19" s="28" t="s">
        <v>608</v>
      </c>
      <c r="Q19" s="28" t="s">
        <v>7827</v>
      </c>
      <c r="R19" s="28" t="s">
        <v>608</v>
      </c>
      <c r="S19" s="28" t="s">
        <v>608</v>
      </c>
      <c r="T19" s="28" t="s">
        <v>608</v>
      </c>
      <c r="U19" s="28" t="s">
        <v>7828</v>
      </c>
      <c r="V19" s="6" t="s">
        <v>7829</v>
      </c>
      <c r="W19" s="19" t="s">
        <v>7830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7831</v>
      </c>
    </row>
    <row r="2" customFormat="false" ht="15" hidden="false" customHeight="true" outlineLevel="0" collapsed="false">
      <c r="A2" s="231" t="s">
        <v>6435</v>
      </c>
    </row>
    <row r="3" customFormat="false" ht="15" hidden="false" customHeight="true" outlineLevel="0" collapsed="false">
      <c r="A3" s="231" t="s">
        <v>6436</v>
      </c>
    </row>
    <row r="4" customFormat="false" ht="43.5" hidden="false" customHeight="true" outlineLevel="0" collapsed="false">
      <c r="A4" s="82" t="s">
        <v>6437</v>
      </c>
      <c r="B4" s="220" t="s">
        <v>2360</v>
      </c>
      <c r="C4" s="220" t="s">
        <v>6438</v>
      </c>
      <c r="D4" s="220" t="s">
        <v>1137</v>
      </c>
      <c r="E4" s="220" t="s">
        <v>1138</v>
      </c>
      <c r="F4" s="220" t="s">
        <v>77</v>
      </c>
      <c r="G4" s="220" t="s">
        <v>460</v>
      </c>
      <c r="H4" s="220" t="s">
        <v>6439</v>
      </c>
      <c r="I4" s="220" t="s">
        <v>5740</v>
      </c>
      <c r="J4" s="220" t="s">
        <v>5743</v>
      </c>
      <c r="K4" s="220" t="s">
        <v>5914</v>
      </c>
      <c r="L4" s="220" t="s">
        <v>6440</v>
      </c>
      <c r="M4" s="220" t="s">
        <v>6441</v>
      </c>
      <c r="N4" s="220" t="s">
        <v>6442</v>
      </c>
      <c r="O4" s="220" t="s">
        <v>595</v>
      </c>
      <c r="P4" s="220" t="s">
        <v>6443</v>
      </c>
      <c r="Q4" s="82" t="s">
        <v>6444</v>
      </c>
      <c r="R4" s="220" t="s">
        <v>6445</v>
      </c>
      <c r="S4" s="220" t="s">
        <v>6446</v>
      </c>
      <c r="T4" s="82" t="s">
        <v>6447</v>
      </c>
      <c r="U4" s="220" t="s">
        <v>6448</v>
      </c>
      <c r="V4" s="220" t="s">
        <v>6449</v>
      </c>
      <c r="W4" s="220" t="s">
        <v>6450</v>
      </c>
      <c r="X4" s="220" t="s">
        <v>6451</v>
      </c>
      <c r="Y4" s="220" t="s">
        <v>6452</v>
      </c>
      <c r="Z4" s="220" t="s">
        <v>6453</v>
      </c>
      <c r="AH4" s="81" t="s">
        <v>6454</v>
      </c>
    </row>
    <row r="5" customFormat="false" ht="29.25" hidden="false" customHeight="true" outlineLevel="0" collapsed="false">
      <c r="A5" s="28" t="s">
        <v>2880</v>
      </c>
      <c r="B5" s="19" t="s">
        <v>7832</v>
      </c>
      <c r="C5" s="224" t="n">
        <v>0.096</v>
      </c>
      <c r="D5" s="222"/>
      <c r="E5" s="222"/>
      <c r="F5" s="28" t="s">
        <v>93</v>
      </c>
      <c r="G5" s="222" t="s">
        <v>7833</v>
      </c>
      <c r="H5" s="28" t="s">
        <v>1199</v>
      </c>
      <c r="I5" s="28" t="s">
        <v>6501</v>
      </c>
      <c r="J5" s="6" t="s">
        <v>7834</v>
      </c>
      <c r="K5" s="222" t="n">
        <v>1</v>
      </c>
      <c r="L5" s="222" t="s">
        <v>6568</v>
      </c>
      <c r="M5" s="6" t="s">
        <v>7835</v>
      </c>
      <c r="N5" s="222" t="s">
        <v>7056</v>
      </c>
      <c r="O5" s="28" t="s">
        <v>6464</v>
      </c>
      <c r="P5" s="28" t="s">
        <v>608</v>
      </c>
      <c r="Q5" s="28" t="s">
        <v>7836</v>
      </c>
      <c r="R5" s="28" t="s">
        <v>608</v>
      </c>
      <c r="S5" s="28" t="s">
        <v>608</v>
      </c>
      <c r="T5" s="28" t="s">
        <v>608</v>
      </c>
      <c r="U5" s="28" t="s">
        <v>7837</v>
      </c>
      <c r="V5" s="6" t="s">
        <v>7838</v>
      </c>
      <c r="W5" s="19" t="s">
        <v>7839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7840</v>
      </c>
      <c r="B6" s="19" t="s">
        <v>7841</v>
      </c>
      <c r="C6" s="224" t="n">
        <v>0.226</v>
      </c>
      <c r="D6" s="222"/>
      <c r="E6" s="222"/>
      <c r="F6" s="28" t="s">
        <v>93</v>
      </c>
      <c r="G6" s="222" t="s">
        <v>119</v>
      </c>
      <c r="H6" s="28" t="s">
        <v>1243</v>
      </c>
      <c r="I6" s="28" t="s">
        <v>6501</v>
      </c>
      <c r="J6" s="6" t="s">
        <v>7834</v>
      </c>
      <c r="K6" s="222" t="n">
        <v>1</v>
      </c>
      <c r="L6" s="222" t="s">
        <v>6568</v>
      </c>
      <c r="M6" s="6" t="s">
        <v>7835</v>
      </c>
      <c r="N6" s="222" t="s">
        <v>7056</v>
      </c>
      <c r="O6" s="28" t="s">
        <v>6464</v>
      </c>
      <c r="P6" s="28" t="s">
        <v>608</v>
      </c>
      <c r="Q6" s="28" t="s">
        <v>7836</v>
      </c>
      <c r="R6" s="28" t="s">
        <v>608</v>
      </c>
      <c r="S6" s="28" t="s">
        <v>608</v>
      </c>
      <c r="T6" s="28" t="s">
        <v>608</v>
      </c>
      <c r="U6" s="28" t="s">
        <v>7837</v>
      </c>
      <c r="V6" s="6" t="s">
        <v>7838</v>
      </c>
      <c r="W6" s="6" t="s">
        <v>608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7842</v>
      </c>
      <c r="B7" s="19" t="s">
        <v>7843</v>
      </c>
      <c r="C7" s="224" t="n">
        <v>0.123</v>
      </c>
      <c r="D7" s="222"/>
      <c r="E7" s="222"/>
      <c r="F7" s="28" t="s">
        <v>93</v>
      </c>
      <c r="G7" s="222" t="s">
        <v>119</v>
      </c>
      <c r="H7" s="28" t="s">
        <v>1228</v>
      </c>
      <c r="I7" s="28" t="s">
        <v>6501</v>
      </c>
      <c r="J7" s="6" t="s">
        <v>7834</v>
      </c>
      <c r="K7" s="222" t="n">
        <v>1</v>
      </c>
      <c r="L7" s="222" t="s">
        <v>6568</v>
      </c>
      <c r="M7" s="6" t="s">
        <v>7835</v>
      </c>
      <c r="N7" s="222" t="s">
        <v>7056</v>
      </c>
      <c r="O7" s="28" t="s">
        <v>6464</v>
      </c>
      <c r="P7" s="28" t="s">
        <v>608</v>
      </c>
      <c r="Q7" s="28" t="s">
        <v>7836</v>
      </c>
      <c r="R7" s="28" t="s">
        <v>608</v>
      </c>
      <c r="S7" s="28" t="s">
        <v>608</v>
      </c>
      <c r="T7" s="28" t="s">
        <v>608</v>
      </c>
      <c r="U7" s="28" t="s">
        <v>7837</v>
      </c>
      <c r="V7" s="6" t="s">
        <v>608</v>
      </c>
      <c r="W7" s="6" t="s">
        <v>608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2977</v>
      </c>
      <c r="B8" s="6" t="s">
        <v>7844</v>
      </c>
      <c r="C8" s="224" t="n">
        <v>8.4</v>
      </c>
      <c r="D8" s="224" t="n">
        <v>7.5</v>
      </c>
      <c r="E8" s="224" t="n">
        <v>8.8</v>
      </c>
      <c r="F8" s="28" t="s">
        <v>867</v>
      </c>
      <c r="G8" s="222" t="s">
        <v>7845</v>
      </c>
      <c r="H8" s="28" t="s">
        <v>1199</v>
      </c>
      <c r="I8" s="28" t="s">
        <v>7065</v>
      </c>
      <c r="J8" s="6" t="s">
        <v>7846</v>
      </c>
      <c r="K8" s="222" t="n">
        <v>2</v>
      </c>
      <c r="L8" s="222" t="s">
        <v>6461</v>
      </c>
      <c r="M8" s="6" t="s">
        <v>7847</v>
      </c>
      <c r="N8" s="222" t="s">
        <v>6474</v>
      </c>
      <c r="O8" s="28" t="s">
        <v>6464</v>
      </c>
      <c r="P8" s="28" t="s">
        <v>608</v>
      </c>
      <c r="Q8" s="28" t="s">
        <v>7848</v>
      </c>
      <c r="R8" s="28" t="s">
        <v>608</v>
      </c>
      <c r="S8" s="28" t="s">
        <v>608</v>
      </c>
      <c r="T8" s="28" t="s">
        <v>608</v>
      </c>
      <c r="U8" s="28" t="s">
        <v>7849</v>
      </c>
      <c r="V8" s="6" t="s">
        <v>7850</v>
      </c>
      <c r="W8" s="19" t="s">
        <v>7851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2986</v>
      </c>
      <c r="B9" s="6" t="s">
        <v>7852</v>
      </c>
      <c r="C9" s="224" t="n">
        <v>3.9</v>
      </c>
      <c r="D9" s="222"/>
      <c r="E9" s="222"/>
      <c r="F9" s="28" t="s">
        <v>867</v>
      </c>
      <c r="G9" s="222" t="s">
        <v>7853</v>
      </c>
      <c r="H9" s="28" t="s">
        <v>1199</v>
      </c>
      <c r="I9" s="28" t="s">
        <v>7065</v>
      </c>
      <c r="J9" s="6" t="s">
        <v>7846</v>
      </c>
      <c r="K9" s="222" t="n">
        <v>2</v>
      </c>
      <c r="L9" s="222" t="s">
        <v>6461</v>
      </c>
      <c r="M9" s="6" t="s">
        <v>7847</v>
      </c>
      <c r="N9" s="222" t="s">
        <v>6474</v>
      </c>
      <c r="O9" s="28" t="s">
        <v>6464</v>
      </c>
      <c r="P9" s="28" t="s">
        <v>608</v>
      </c>
      <c r="Q9" s="28" t="s">
        <v>7848</v>
      </c>
      <c r="R9" s="28" t="s">
        <v>608</v>
      </c>
      <c r="S9" s="28" t="s">
        <v>608</v>
      </c>
      <c r="T9" s="28" t="s">
        <v>608</v>
      </c>
      <c r="U9" s="28" t="s">
        <v>7849</v>
      </c>
      <c r="V9" s="6" t="s">
        <v>7854</v>
      </c>
      <c r="W9" s="19" t="s">
        <v>7855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2926</v>
      </c>
      <c r="B10" s="6" t="s">
        <v>7856</v>
      </c>
      <c r="C10" s="224" t="n">
        <v>12</v>
      </c>
      <c r="D10" s="222"/>
      <c r="E10" s="222"/>
      <c r="F10" s="28" t="s">
        <v>867</v>
      </c>
      <c r="G10" s="222" t="s">
        <v>7857</v>
      </c>
      <c r="H10" s="28" t="s">
        <v>1199</v>
      </c>
      <c r="I10" s="28" t="s">
        <v>7065</v>
      </c>
      <c r="J10" s="6" t="s">
        <v>7846</v>
      </c>
      <c r="K10" s="222" t="n">
        <v>2</v>
      </c>
      <c r="L10" s="222" t="s">
        <v>6461</v>
      </c>
      <c r="M10" s="6" t="s">
        <v>7847</v>
      </c>
      <c r="N10" s="222" t="s">
        <v>6474</v>
      </c>
      <c r="O10" s="28" t="s">
        <v>6464</v>
      </c>
      <c r="P10" s="28" t="s">
        <v>608</v>
      </c>
      <c r="Q10" s="28" t="s">
        <v>7848</v>
      </c>
      <c r="R10" s="28" t="s">
        <v>608</v>
      </c>
      <c r="S10" s="28" t="s">
        <v>608</v>
      </c>
      <c r="T10" s="28" t="s">
        <v>608</v>
      </c>
      <c r="U10" s="28" t="s">
        <v>7849</v>
      </c>
      <c r="V10" s="6" t="s">
        <v>7858</v>
      </c>
      <c r="W10" s="6" t="s">
        <v>608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2890</v>
      </c>
      <c r="B11" s="6" t="s">
        <v>7859</v>
      </c>
      <c r="C11" s="224" t="n">
        <v>13.07</v>
      </c>
      <c r="D11" s="222"/>
      <c r="E11" s="222"/>
      <c r="F11" s="28" t="s">
        <v>867</v>
      </c>
      <c r="G11" s="222" t="s">
        <v>7853</v>
      </c>
      <c r="H11" s="28" t="s">
        <v>1199</v>
      </c>
      <c r="I11" s="28" t="s">
        <v>7065</v>
      </c>
      <c r="J11" s="6" t="s">
        <v>7846</v>
      </c>
      <c r="K11" s="222" t="n">
        <v>2</v>
      </c>
      <c r="L11" s="222" t="s">
        <v>6461</v>
      </c>
      <c r="M11" s="6" t="s">
        <v>7847</v>
      </c>
      <c r="N11" s="222" t="s">
        <v>6474</v>
      </c>
      <c r="O11" s="28" t="s">
        <v>6464</v>
      </c>
      <c r="P11" s="28" t="s">
        <v>608</v>
      </c>
      <c r="Q11" s="28" t="s">
        <v>7848</v>
      </c>
      <c r="R11" s="28" t="s">
        <v>608</v>
      </c>
      <c r="S11" s="28" t="s">
        <v>608</v>
      </c>
      <c r="T11" s="28" t="s">
        <v>608</v>
      </c>
      <c r="U11" s="28" t="s">
        <v>7849</v>
      </c>
      <c r="V11" s="6" t="s">
        <v>7860</v>
      </c>
      <c r="W11" s="6" t="s">
        <v>7861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7862</v>
      </c>
      <c r="B12" s="6" t="s">
        <v>7863</v>
      </c>
      <c r="C12" s="224" t="n">
        <v>0.6</v>
      </c>
      <c r="D12" s="222"/>
      <c r="E12" s="222"/>
      <c r="F12" s="28" t="s">
        <v>85</v>
      </c>
      <c r="G12" s="28" t="s">
        <v>7864</v>
      </c>
      <c r="H12" s="28" t="s">
        <v>1199</v>
      </c>
      <c r="I12" s="28" t="s">
        <v>7865</v>
      </c>
      <c r="J12" s="6" t="s">
        <v>7846</v>
      </c>
      <c r="K12" s="222" t="n">
        <v>2</v>
      </c>
      <c r="L12" s="222" t="s">
        <v>6461</v>
      </c>
      <c r="M12" s="6" t="s">
        <v>7847</v>
      </c>
      <c r="N12" s="222" t="s">
        <v>6474</v>
      </c>
      <c r="O12" s="28" t="s">
        <v>6464</v>
      </c>
      <c r="P12" s="28" t="s">
        <v>608</v>
      </c>
      <c r="Q12" s="28" t="s">
        <v>7848</v>
      </c>
      <c r="R12" s="28" t="s">
        <v>608</v>
      </c>
      <c r="S12" s="28" t="s">
        <v>608</v>
      </c>
      <c r="T12" s="28" t="s">
        <v>608</v>
      </c>
      <c r="U12" s="28" t="s">
        <v>7849</v>
      </c>
      <c r="V12" s="6" t="s">
        <v>7860</v>
      </c>
      <c r="W12" s="6" t="s">
        <v>608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7866</v>
      </c>
      <c r="B13" s="6" t="s">
        <v>7867</v>
      </c>
      <c r="C13" s="224" t="n">
        <v>1.9</v>
      </c>
      <c r="D13" s="222"/>
      <c r="E13" s="222"/>
      <c r="F13" s="28" t="s">
        <v>85</v>
      </c>
      <c r="G13" s="222" t="s">
        <v>7868</v>
      </c>
      <c r="H13" s="28" t="s">
        <v>1199</v>
      </c>
      <c r="I13" s="28" t="s">
        <v>7065</v>
      </c>
      <c r="J13" s="6" t="s">
        <v>7846</v>
      </c>
      <c r="K13" s="222" t="n">
        <v>2</v>
      </c>
      <c r="L13" s="222" t="s">
        <v>6461</v>
      </c>
      <c r="M13" s="6" t="s">
        <v>7847</v>
      </c>
      <c r="N13" s="222" t="s">
        <v>6474</v>
      </c>
      <c r="O13" s="28" t="s">
        <v>6464</v>
      </c>
      <c r="P13" s="28" t="s">
        <v>608</v>
      </c>
      <c r="Q13" s="28" t="s">
        <v>7848</v>
      </c>
      <c r="R13" s="28" t="s">
        <v>608</v>
      </c>
      <c r="S13" s="28" t="s">
        <v>608</v>
      </c>
      <c r="T13" s="28" t="s">
        <v>608</v>
      </c>
      <c r="U13" s="28" t="s">
        <v>7849</v>
      </c>
      <c r="V13" s="6" t="s">
        <v>7860</v>
      </c>
      <c r="W13" s="6" t="s">
        <v>7869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5436</v>
      </c>
      <c r="B14" s="6" t="s">
        <v>7870</v>
      </c>
      <c r="C14" s="224" t="n">
        <v>6</v>
      </c>
      <c r="D14" s="222"/>
      <c r="E14" s="222"/>
      <c r="F14" s="28" t="s">
        <v>7871</v>
      </c>
      <c r="G14" s="222" t="s">
        <v>7872</v>
      </c>
      <c r="H14" s="28" t="s">
        <v>1199</v>
      </c>
      <c r="I14" s="28" t="s">
        <v>7873</v>
      </c>
      <c r="J14" s="6" t="s">
        <v>7874</v>
      </c>
      <c r="K14" s="222" t="n">
        <v>2</v>
      </c>
      <c r="L14" s="222" t="s">
        <v>6461</v>
      </c>
      <c r="M14" s="6" t="s">
        <v>7875</v>
      </c>
      <c r="N14" s="222" t="s">
        <v>6474</v>
      </c>
      <c r="O14" s="28" t="s">
        <v>6464</v>
      </c>
      <c r="P14" s="28" t="s">
        <v>608</v>
      </c>
      <c r="Q14" s="28" t="s">
        <v>7876</v>
      </c>
      <c r="R14" s="28" t="s">
        <v>608</v>
      </c>
      <c r="S14" s="28" t="s">
        <v>608</v>
      </c>
      <c r="T14" s="28" t="s">
        <v>608</v>
      </c>
      <c r="U14" s="28" t="s">
        <v>7877</v>
      </c>
      <c r="V14" s="6" t="s">
        <v>7878</v>
      </c>
      <c r="W14" s="6" t="s">
        <v>7879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5636</v>
      </c>
      <c r="B15" s="6" t="s">
        <v>7870</v>
      </c>
      <c r="C15" s="224" t="n">
        <v>15</v>
      </c>
      <c r="D15" s="222"/>
      <c r="E15" s="222"/>
      <c r="F15" s="28" t="s">
        <v>7871</v>
      </c>
      <c r="G15" s="222" t="s">
        <v>7880</v>
      </c>
      <c r="H15" s="28" t="s">
        <v>1199</v>
      </c>
      <c r="I15" s="28" t="s">
        <v>7881</v>
      </c>
      <c r="J15" s="6" t="s">
        <v>7882</v>
      </c>
      <c r="K15" s="222" t="n">
        <v>1</v>
      </c>
      <c r="L15" s="222" t="s">
        <v>6461</v>
      </c>
      <c r="M15" s="6" t="s">
        <v>7883</v>
      </c>
      <c r="N15" s="222" t="s">
        <v>6463</v>
      </c>
      <c r="O15" s="28" t="s">
        <v>6464</v>
      </c>
      <c r="P15" s="28" t="s">
        <v>608</v>
      </c>
      <c r="Q15" s="28" t="s">
        <v>7884</v>
      </c>
      <c r="R15" s="28" t="s">
        <v>608</v>
      </c>
      <c r="S15" s="28" t="s">
        <v>6041</v>
      </c>
      <c r="T15" s="28" t="s">
        <v>608</v>
      </c>
      <c r="U15" s="28" t="s">
        <v>7877</v>
      </c>
      <c r="V15" s="19" t="s">
        <v>7885</v>
      </c>
      <c r="W15" s="6" t="s">
        <v>7886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5443</v>
      </c>
      <c r="B16" s="6" t="s">
        <v>7887</v>
      </c>
      <c r="C16" s="224" t="n">
        <v>2.5</v>
      </c>
      <c r="D16" s="222"/>
      <c r="E16" s="222"/>
      <c r="F16" s="28" t="s">
        <v>1508</v>
      </c>
      <c r="G16" s="222" t="s">
        <v>7888</v>
      </c>
      <c r="H16" s="28" t="s">
        <v>1199</v>
      </c>
      <c r="I16" s="28" t="s">
        <v>7889</v>
      </c>
      <c r="J16" s="6" t="s">
        <v>7890</v>
      </c>
      <c r="K16" s="222" t="n">
        <v>2</v>
      </c>
      <c r="L16" s="222" t="s">
        <v>6461</v>
      </c>
      <c r="M16" s="6" t="s">
        <v>7875</v>
      </c>
      <c r="N16" s="222" t="s">
        <v>6474</v>
      </c>
      <c r="O16" s="28" t="s">
        <v>6464</v>
      </c>
      <c r="P16" s="28" t="s">
        <v>608</v>
      </c>
      <c r="Q16" s="28" t="s">
        <v>7891</v>
      </c>
      <c r="R16" s="28" t="s">
        <v>608</v>
      </c>
      <c r="S16" s="28" t="s">
        <v>608</v>
      </c>
      <c r="T16" s="28" t="s">
        <v>608</v>
      </c>
      <c r="U16" s="28" t="s">
        <v>7877</v>
      </c>
      <c r="V16" s="6" t="s">
        <v>7892</v>
      </c>
      <c r="W16" s="6" t="s">
        <v>7893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2993</v>
      </c>
      <c r="B17" s="19" t="s">
        <v>7894</v>
      </c>
      <c r="C17" s="222"/>
      <c r="D17" s="224" t="n">
        <v>10</v>
      </c>
      <c r="E17" s="224" t="n">
        <v>100</v>
      </c>
      <c r="F17" s="28" t="s">
        <v>1296</v>
      </c>
      <c r="G17" s="222" t="s">
        <v>7895</v>
      </c>
      <c r="H17" s="28" t="s">
        <v>7896</v>
      </c>
      <c r="I17" s="28" t="s">
        <v>7065</v>
      </c>
      <c r="J17" s="6" t="s">
        <v>7897</v>
      </c>
      <c r="K17" s="222" t="n">
        <v>1</v>
      </c>
      <c r="L17" s="222" t="s">
        <v>6568</v>
      </c>
      <c r="M17" s="6" t="s">
        <v>7898</v>
      </c>
      <c r="N17" s="222" t="s">
        <v>6463</v>
      </c>
      <c r="O17" s="28" t="s">
        <v>6464</v>
      </c>
      <c r="P17" s="28" t="s">
        <v>608</v>
      </c>
      <c r="Q17" s="28" t="s">
        <v>7899</v>
      </c>
      <c r="R17" s="28" t="s">
        <v>608</v>
      </c>
      <c r="S17" s="28" t="s">
        <v>6041</v>
      </c>
      <c r="T17" s="28" t="s">
        <v>608</v>
      </c>
      <c r="U17" s="28" t="s">
        <v>7877</v>
      </c>
      <c r="V17" s="6" t="s">
        <v>7900</v>
      </c>
      <c r="W17" s="19" t="s">
        <v>7901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7902</v>
      </c>
      <c r="B18" s="6" t="s">
        <v>7903</v>
      </c>
      <c r="C18" s="224" t="n">
        <v>6000</v>
      </c>
      <c r="D18" s="196"/>
      <c r="E18" s="196"/>
      <c r="F18" s="28" t="s">
        <v>7904</v>
      </c>
      <c r="G18" s="196" t="s">
        <v>7905</v>
      </c>
      <c r="H18" s="28" t="s">
        <v>7906</v>
      </c>
      <c r="I18" s="28" t="s">
        <v>7907</v>
      </c>
      <c r="J18" s="6" t="s">
        <v>7908</v>
      </c>
      <c r="K18" s="196" t="n">
        <v>1</v>
      </c>
      <c r="L18" s="196" t="s">
        <v>6461</v>
      </c>
      <c r="M18" s="6" t="s">
        <v>7909</v>
      </c>
      <c r="N18" s="196" t="s">
        <v>6463</v>
      </c>
      <c r="O18" s="28" t="s">
        <v>6464</v>
      </c>
      <c r="P18" s="28" t="s">
        <v>608</v>
      </c>
      <c r="Q18" s="28" t="s">
        <v>7910</v>
      </c>
      <c r="R18" s="28" t="s">
        <v>608</v>
      </c>
      <c r="S18" s="28" t="s">
        <v>608</v>
      </c>
      <c r="T18" s="28" t="s">
        <v>608</v>
      </c>
      <c r="U18" s="28" t="s">
        <v>7179</v>
      </c>
      <c r="V18" s="6" t="s">
        <v>608</v>
      </c>
      <c r="W18" s="6" t="s">
        <v>7911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7912</v>
      </c>
      <c r="B19" s="6" t="s">
        <v>7913</v>
      </c>
      <c r="C19" s="224" t="n">
        <v>400</v>
      </c>
      <c r="D19" s="196"/>
      <c r="E19" s="196"/>
      <c r="F19" s="28" t="s">
        <v>7904</v>
      </c>
      <c r="G19" s="196" t="s">
        <v>7914</v>
      </c>
      <c r="H19" s="28" t="s">
        <v>7906</v>
      </c>
      <c r="I19" s="28" t="s">
        <v>7907</v>
      </c>
      <c r="J19" s="6" t="s">
        <v>7908</v>
      </c>
      <c r="K19" s="196" t="n">
        <v>1</v>
      </c>
      <c r="L19" s="196" t="s">
        <v>6461</v>
      </c>
      <c r="M19" s="6" t="s">
        <v>7909</v>
      </c>
      <c r="N19" s="196" t="s">
        <v>6463</v>
      </c>
      <c r="O19" s="28" t="s">
        <v>6464</v>
      </c>
      <c r="P19" s="28" t="s">
        <v>608</v>
      </c>
      <c r="Q19" s="28" t="s">
        <v>7910</v>
      </c>
      <c r="R19" s="28" t="s">
        <v>608</v>
      </c>
      <c r="S19" s="28" t="s">
        <v>608</v>
      </c>
      <c r="T19" s="28" t="s">
        <v>608</v>
      </c>
      <c r="U19" s="28" t="s">
        <v>7179</v>
      </c>
      <c r="V19" s="6" t="s">
        <v>608</v>
      </c>
      <c r="W19" s="6" t="s">
        <v>7915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7916</v>
      </c>
      <c r="B20" s="6" t="s">
        <v>7917</v>
      </c>
      <c r="C20" s="224" t="n">
        <v>3.5</v>
      </c>
      <c r="D20" s="224" t="n">
        <v>3</v>
      </c>
      <c r="E20" s="224" t="n">
        <v>4</v>
      </c>
      <c r="F20" s="196" t="s">
        <v>7918</v>
      </c>
      <c r="G20" s="196" t="s">
        <v>7919</v>
      </c>
      <c r="H20" s="28" t="s">
        <v>7906</v>
      </c>
      <c r="I20" s="28" t="s">
        <v>7907</v>
      </c>
      <c r="J20" s="6" t="s">
        <v>7908</v>
      </c>
      <c r="K20" s="196" t="n">
        <v>1</v>
      </c>
      <c r="L20" s="196" t="s">
        <v>6461</v>
      </c>
      <c r="M20" s="6" t="s">
        <v>7909</v>
      </c>
      <c r="N20" s="196" t="s">
        <v>6463</v>
      </c>
      <c r="O20" s="28" t="s">
        <v>6464</v>
      </c>
      <c r="P20" s="28" t="s">
        <v>608</v>
      </c>
      <c r="Q20" s="28" t="s">
        <v>7910</v>
      </c>
      <c r="R20" s="28" t="s">
        <v>608</v>
      </c>
      <c r="S20" s="28" t="s">
        <v>608</v>
      </c>
      <c r="T20" s="28" t="s">
        <v>608</v>
      </c>
      <c r="U20" s="28" t="s">
        <v>7179</v>
      </c>
      <c r="V20" s="6" t="s">
        <v>608</v>
      </c>
      <c r="W20" s="6" t="s">
        <v>7920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7921</v>
      </c>
      <c r="B21" s="6" t="s">
        <v>7922</v>
      </c>
      <c r="C21" s="224" t="n">
        <v>0.5</v>
      </c>
      <c r="D21" s="224" t="n">
        <v>0.5</v>
      </c>
      <c r="E21" s="196"/>
      <c r="F21" s="28" t="s">
        <v>93</v>
      </c>
      <c r="G21" s="196" t="s">
        <v>7923</v>
      </c>
      <c r="H21" s="28" t="s">
        <v>7906</v>
      </c>
      <c r="I21" s="28" t="s">
        <v>7907</v>
      </c>
      <c r="J21" s="6" t="s">
        <v>7908</v>
      </c>
      <c r="K21" s="196" t="n">
        <v>1</v>
      </c>
      <c r="L21" s="196" t="s">
        <v>6461</v>
      </c>
      <c r="M21" s="6" t="s">
        <v>7909</v>
      </c>
      <c r="N21" s="196" t="s">
        <v>6463</v>
      </c>
      <c r="O21" s="28" t="s">
        <v>6464</v>
      </c>
      <c r="P21" s="28" t="s">
        <v>608</v>
      </c>
      <c r="Q21" s="28" t="s">
        <v>7910</v>
      </c>
      <c r="R21" s="28" t="s">
        <v>608</v>
      </c>
      <c r="S21" s="28" t="s">
        <v>608</v>
      </c>
      <c r="T21" s="28" t="s">
        <v>608</v>
      </c>
      <c r="U21" s="28" t="s">
        <v>7179</v>
      </c>
      <c r="V21" s="6" t="s">
        <v>608</v>
      </c>
      <c r="W21" s="6" t="s">
        <v>7924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7925</v>
      </c>
      <c r="B22" s="6" t="s">
        <v>7926</v>
      </c>
      <c r="C22" s="224" t="n">
        <v>12.6</v>
      </c>
      <c r="D22" s="224" t="n">
        <v>12.3</v>
      </c>
      <c r="E22" s="224" t="n">
        <v>13</v>
      </c>
      <c r="F22" s="28" t="s">
        <v>867</v>
      </c>
      <c r="G22" s="28" t="s">
        <v>7927</v>
      </c>
      <c r="H22" s="28" t="s">
        <v>1199</v>
      </c>
      <c r="I22" s="28" t="s">
        <v>7065</v>
      </c>
      <c r="J22" s="6" t="s">
        <v>7928</v>
      </c>
      <c r="K22" s="196" t="n">
        <v>2</v>
      </c>
      <c r="L22" s="196" t="s">
        <v>6461</v>
      </c>
      <c r="M22" s="6" t="s">
        <v>7929</v>
      </c>
      <c r="N22" s="196" t="s">
        <v>7930</v>
      </c>
      <c r="O22" s="28" t="s">
        <v>6464</v>
      </c>
      <c r="P22" s="28" t="s">
        <v>608</v>
      </c>
      <c r="Q22" s="28" t="s">
        <v>7931</v>
      </c>
      <c r="R22" s="28" t="s">
        <v>608</v>
      </c>
      <c r="S22" s="28" t="s">
        <v>608</v>
      </c>
      <c r="T22" s="28" t="s">
        <v>608</v>
      </c>
      <c r="U22" s="28" t="s">
        <v>7932</v>
      </c>
      <c r="V22" s="6" t="s">
        <v>7933</v>
      </c>
      <c r="W22" s="6" t="s">
        <v>7934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1278</v>
      </c>
      <c r="B23" s="6" t="s">
        <v>7935</v>
      </c>
      <c r="C23" s="224" t="n">
        <v>50</v>
      </c>
      <c r="D23" s="196"/>
      <c r="E23" s="196"/>
      <c r="F23" s="196" t="s">
        <v>1270</v>
      </c>
      <c r="G23" s="196" t="s">
        <v>7936</v>
      </c>
      <c r="H23" s="28" t="s">
        <v>7937</v>
      </c>
      <c r="I23" s="28" t="s">
        <v>7938</v>
      </c>
      <c r="J23" s="6" t="s">
        <v>7939</v>
      </c>
      <c r="K23" s="196" t="n">
        <v>1</v>
      </c>
      <c r="L23" s="196" t="s">
        <v>6461</v>
      </c>
      <c r="M23" s="6" t="s">
        <v>7940</v>
      </c>
      <c r="N23" s="196" t="s">
        <v>6463</v>
      </c>
      <c r="O23" s="28" t="s">
        <v>6464</v>
      </c>
      <c r="P23" s="28" t="s">
        <v>608</v>
      </c>
      <c r="Q23" s="28" t="s">
        <v>7941</v>
      </c>
      <c r="R23" s="28" t="s">
        <v>608</v>
      </c>
      <c r="S23" s="28" t="s">
        <v>608</v>
      </c>
      <c r="T23" s="28" t="s">
        <v>608</v>
      </c>
      <c r="U23" s="28" t="s">
        <v>7942</v>
      </c>
      <c r="V23" s="6" t="s">
        <v>7943</v>
      </c>
      <c r="W23" s="6" t="s">
        <v>7944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7945</v>
      </c>
      <c r="B24" s="6" t="s">
        <v>7946</v>
      </c>
      <c r="C24" s="224" t="n">
        <v>9</v>
      </c>
      <c r="D24" s="196"/>
      <c r="E24" s="196"/>
      <c r="F24" s="196" t="s">
        <v>1270</v>
      </c>
      <c r="G24" s="196" t="s">
        <v>7947</v>
      </c>
      <c r="H24" s="28" t="s">
        <v>7937</v>
      </c>
      <c r="I24" s="28" t="s">
        <v>7938</v>
      </c>
      <c r="J24" s="6" t="s">
        <v>7939</v>
      </c>
      <c r="K24" s="196" t="n">
        <v>1</v>
      </c>
      <c r="L24" s="196" t="s">
        <v>6461</v>
      </c>
      <c r="M24" s="6" t="s">
        <v>7940</v>
      </c>
      <c r="N24" s="196" t="s">
        <v>6463</v>
      </c>
      <c r="O24" s="28" t="s">
        <v>6464</v>
      </c>
      <c r="P24" s="28" t="s">
        <v>608</v>
      </c>
      <c r="Q24" s="28" t="s">
        <v>7941</v>
      </c>
      <c r="R24" s="28" t="s">
        <v>608</v>
      </c>
      <c r="S24" s="28" t="s">
        <v>608</v>
      </c>
      <c r="T24" s="28" t="s">
        <v>608</v>
      </c>
      <c r="U24" s="28" t="s">
        <v>7942</v>
      </c>
      <c r="V24" s="226" t="s">
        <v>7948</v>
      </c>
      <c r="W24" s="6" t="s">
        <v>7949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7950</v>
      </c>
      <c r="B25" s="6" t="s">
        <v>7951</v>
      </c>
      <c r="C25" s="224" t="n">
        <v>1.6</v>
      </c>
      <c r="D25" s="196"/>
      <c r="E25" s="196"/>
      <c r="F25" s="196" t="s">
        <v>1270</v>
      </c>
      <c r="G25" s="196" t="s">
        <v>7952</v>
      </c>
      <c r="H25" s="28" t="s">
        <v>7953</v>
      </c>
      <c r="I25" s="28" t="s">
        <v>7938</v>
      </c>
      <c r="J25" s="6" t="s">
        <v>7939</v>
      </c>
      <c r="K25" s="196" t="n">
        <v>1</v>
      </c>
      <c r="L25" s="196" t="s">
        <v>6461</v>
      </c>
      <c r="M25" s="6" t="s">
        <v>7940</v>
      </c>
      <c r="N25" s="196" t="s">
        <v>6463</v>
      </c>
      <c r="O25" s="28" t="s">
        <v>6464</v>
      </c>
      <c r="P25" s="28" t="s">
        <v>608</v>
      </c>
      <c r="Q25" s="28" t="s">
        <v>7941</v>
      </c>
      <c r="R25" s="28" t="s">
        <v>608</v>
      </c>
      <c r="S25" s="28" t="s">
        <v>608</v>
      </c>
      <c r="T25" s="28" t="s">
        <v>608</v>
      </c>
      <c r="U25" s="28" t="s">
        <v>7942</v>
      </c>
      <c r="V25" s="226" t="s">
        <v>7948</v>
      </c>
      <c r="W25" s="6" t="s">
        <v>7954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7955</v>
      </c>
      <c r="B26" s="6" t="s">
        <v>7956</v>
      </c>
      <c r="C26" s="224" t="n">
        <v>2</v>
      </c>
      <c r="D26" s="196"/>
      <c r="E26" s="196"/>
      <c r="F26" s="28" t="s">
        <v>7957</v>
      </c>
      <c r="G26" s="196" t="s">
        <v>7958</v>
      </c>
      <c r="H26" s="28" t="s">
        <v>1199</v>
      </c>
      <c r="I26" s="28" t="s">
        <v>7881</v>
      </c>
      <c r="J26" s="6" t="s">
        <v>7959</v>
      </c>
      <c r="K26" s="196" t="n">
        <v>1</v>
      </c>
      <c r="L26" s="196" t="s">
        <v>6461</v>
      </c>
      <c r="M26" s="6" t="s">
        <v>7940</v>
      </c>
      <c r="N26" s="196" t="s">
        <v>6463</v>
      </c>
      <c r="O26" s="28" t="s">
        <v>6464</v>
      </c>
      <c r="P26" s="28" t="s">
        <v>608</v>
      </c>
      <c r="Q26" s="28" t="s">
        <v>7960</v>
      </c>
      <c r="R26" s="28" t="s">
        <v>608</v>
      </c>
      <c r="S26" s="28" t="s">
        <v>608</v>
      </c>
      <c r="T26" s="28" t="s">
        <v>608</v>
      </c>
      <c r="U26" s="28" t="s">
        <v>7942</v>
      </c>
      <c r="V26" s="226" t="s">
        <v>7948</v>
      </c>
      <c r="W26" s="6" t="s">
        <v>7961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5624</v>
      </c>
      <c r="B27" s="6" t="s">
        <v>7962</v>
      </c>
      <c r="C27" s="224" t="n">
        <v>0.4</v>
      </c>
      <c r="D27" s="196"/>
      <c r="E27" s="196"/>
      <c r="F27" s="28" t="s">
        <v>93</v>
      </c>
      <c r="G27" s="196" t="s">
        <v>7963</v>
      </c>
      <c r="H27" s="28" t="s">
        <v>1199</v>
      </c>
      <c r="I27" s="28" t="s">
        <v>7881</v>
      </c>
      <c r="J27" s="6" t="s">
        <v>7959</v>
      </c>
      <c r="K27" s="196" t="n">
        <v>1</v>
      </c>
      <c r="L27" s="196" t="s">
        <v>6461</v>
      </c>
      <c r="M27" s="6" t="s">
        <v>7940</v>
      </c>
      <c r="N27" s="196" t="s">
        <v>6463</v>
      </c>
      <c r="O27" s="28" t="s">
        <v>6464</v>
      </c>
      <c r="P27" s="28" t="s">
        <v>608</v>
      </c>
      <c r="Q27" s="28" t="s">
        <v>7960</v>
      </c>
      <c r="R27" s="28" t="s">
        <v>608</v>
      </c>
      <c r="S27" s="28" t="s">
        <v>608</v>
      </c>
      <c r="T27" s="28" t="s">
        <v>608</v>
      </c>
      <c r="U27" s="28" t="s">
        <v>7942</v>
      </c>
      <c r="V27" s="226" t="s">
        <v>7948</v>
      </c>
      <c r="W27" s="6" t="s">
        <v>7964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1271</v>
      </c>
      <c r="B28" s="6" t="s">
        <v>7935</v>
      </c>
      <c r="C28" s="224" t="n">
        <v>15.5</v>
      </c>
      <c r="D28" s="196"/>
      <c r="E28" s="196"/>
      <c r="F28" s="196" t="s">
        <v>1270</v>
      </c>
      <c r="G28" s="196" t="s">
        <v>7965</v>
      </c>
      <c r="H28" s="28" t="s">
        <v>7937</v>
      </c>
      <c r="I28" s="28" t="s">
        <v>7966</v>
      </c>
      <c r="J28" s="6" t="s">
        <v>7967</v>
      </c>
      <c r="K28" s="196" t="n">
        <v>2</v>
      </c>
      <c r="L28" s="196" t="s">
        <v>6461</v>
      </c>
      <c r="M28" s="6" t="s">
        <v>7968</v>
      </c>
      <c r="N28" s="196" t="s">
        <v>6474</v>
      </c>
      <c r="O28" s="28" t="s">
        <v>6464</v>
      </c>
      <c r="P28" s="28" t="s">
        <v>608</v>
      </c>
      <c r="Q28" s="28" t="s">
        <v>7969</v>
      </c>
      <c r="R28" s="28" t="s">
        <v>608</v>
      </c>
      <c r="S28" s="28" t="s">
        <v>608</v>
      </c>
      <c r="T28" s="28" t="s">
        <v>608</v>
      </c>
      <c r="U28" s="28" t="s">
        <v>7942</v>
      </c>
      <c r="V28" s="6" t="s">
        <v>7970</v>
      </c>
      <c r="W28" s="6" t="s">
        <v>7971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1273</v>
      </c>
      <c r="B29" s="6" t="s">
        <v>7935</v>
      </c>
      <c r="C29" s="224" t="n">
        <v>20</v>
      </c>
      <c r="D29" s="196"/>
      <c r="E29" s="196"/>
      <c r="F29" s="196" t="s">
        <v>1270</v>
      </c>
      <c r="G29" s="196" t="s">
        <v>7972</v>
      </c>
      <c r="H29" s="28" t="s">
        <v>7937</v>
      </c>
      <c r="I29" s="28" t="s">
        <v>7966</v>
      </c>
      <c r="J29" s="6" t="s">
        <v>7973</v>
      </c>
      <c r="K29" s="196" t="n">
        <v>2</v>
      </c>
      <c r="L29" s="196" t="s">
        <v>6461</v>
      </c>
      <c r="M29" s="6" t="s">
        <v>7968</v>
      </c>
      <c r="N29" s="196" t="s">
        <v>6474</v>
      </c>
      <c r="O29" s="28" t="s">
        <v>6464</v>
      </c>
      <c r="P29" s="28" t="s">
        <v>608</v>
      </c>
      <c r="Q29" s="28" t="s">
        <v>7969</v>
      </c>
      <c r="R29" s="28" t="s">
        <v>608</v>
      </c>
      <c r="S29" s="28" t="s">
        <v>608</v>
      </c>
      <c r="T29" s="28" t="s">
        <v>608</v>
      </c>
      <c r="U29" s="28" t="s">
        <v>7942</v>
      </c>
      <c r="V29" s="6" t="s">
        <v>7974</v>
      </c>
      <c r="W29" s="6" t="s">
        <v>7975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1275</v>
      </c>
      <c r="B30" s="6" t="s">
        <v>7935</v>
      </c>
      <c r="C30" s="224" t="n">
        <v>35</v>
      </c>
      <c r="D30" s="196"/>
      <c r="E30" s="196"/>
      <c r="F30" s="196" t="s">
        <v>1270</v>
      </c>
      <c r="G30" s="196" t="s">
        <v>7976</v>
      </c>
      <c r="H30" s="28" t="s">
        <v>7937</v>
      </c>
      <c r="I30" s="28" t="s">
        <v>7977</v>
      </c>
      <c r="J30" s="6" t="s">
        <v>7978</v>
      </c>
      <c r="K30" s="196" t="n">
        <v>2</v>
      </c>
      <c r="L30" s="196" t="s">
        <v>6461</v>
      </c>
      <c r="M30" s="6" t="s">
        <v>7979</v>
      </c>
      <c r="N30" s="196" t="s">
        <v>6474</v>
      </c>
      <c r="O30" s="28" t="s">
        <v>6464</v>
      </c>
      <c r="P30" s="28" t="s">
        <v>608</v>
      </c>
      <c r="Q30" s="28" t="s">
        <v>7980</v>
      </c>
      <c r="R30" s="28" t="s">
        <v>608</v>
      </c>
      <c r="S30" s="28" t="s">
        <v>608</v>
      </c>
      <c r="T30" s="28" t="s">
        <v>608</v>
      </c>
      <c r="U30" s="28" t="s">
        <v>7942</v>
      </c>
      <c r="V30" s="6" t="s">
        <v>7974</v>
      </c>
      <c r="W30" s="6" t="s">
        <v>7981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7982</v>
      </c>
      <c r="B31" s="6" t="s">
        <v>7946</v>
      </c>
      <c r="C31" s="224" t="n">
        <v>2</v>
      </c>
      <c r="D31" s="196"/>
      <c r="E31" s="196"/>
      <c r="F31" s="196" t="s">
        <v>1270</v>
      </c>
      <c r="G31" s="196" t="s">
        <v>7983</v>
      </c>
      <c r="H31" s="28" t="s">
        <v>7937</v>
      </c>
      <c r="I31" s="28" t="s">
        <v>7984</v>
      </c>
      <c r="J31" s="6" t="s">
        <v>7985</v>
      </c>
      <c r="K31" s="196" t="n">
        <v>2</v>
      </c>
      <c r="L31" s="196" t="s">
        <v>6461</v>
      </c>
      <c r="M31" s="6" t="s">
        <v>7986</v>
      </c>
      <c r="N31" s="196" t="s">
        <v>6474</v>
      </c>
      <c r="O31" s="28" t="s">
        <v>6464</v>
      </c>
      <c r="P31" s="28" t="s">
        <v>608</v>
      </c>
      <c r="Q31" s="28" t="s">
        <v>7987</v>
      </c>
      <c r="R31" s="28" t="s">
        <v>608</v>
      </c>
      <c r="S31" s="28" t="s">
        <v>608</v>
      </c>
      <c r="T31" s="28" t="s">
        <v>608</v>
      </c>
      <c r="U31" s="28" t="s">
        <v>7942</v>
      </c>
      <c r="V31" s="226" t="s">
        <v>7948</v>
      </c>
      <c r="W31" s="6" t="s">
        <v>7988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7989</v>
      </c>
      <c r="B32" s="6" t="s">
        <v>7946</v>
      </c>
      <c r="C32" s="224" t="n">
        <v>3</v>
      </c>
      <c r="D32" s="196"/>
      <c r="E32" s="196"/>
      <c r="F32" s="196" t="s">
        <v>1270</v>
      </c>
      <c r="G32" s="196" t="s">
        <v>7990</v>
      </c>
      <c r="H32" s="28" t="s">
        <v>7937</v>
      </c>
      <c r="I32" s="28" t="s">
        <v>7991</v>
      </c>
      <c r="J32" s="6" t="s">
        <v>7992</v>
      </c>
      <c r="K32" s="196" t="n">
        <v>2</v>
      </c>
      <c r="L32" s="196" t="s">
        <v>6461</v>
      </c>
      <c r="M32" s="6" t="s">
        <v>7993</v>
      </c>
      <c r="N32" s="196" t="s">
        <v>6474</v>
      </c>
      <c r="O32" s="28" t="s">
        <v>6464</v>
      </c>
      <c r="P32" s="28" t="s">
        <v>608</v>
      </c>
      <c r="Q32" s="28" t="s">
        <v>7987</v>
      </c>
      <c r="R32" s="28" t="s">
        <v>608</v>
      </c>
      <c r="S32" s="28" t="s">
        <v>608</v>
      </c>
      <c r="T32" s="28" t="s">
        <v>608</v>
      </c>
      <c r="U32" s="28" t="s">
        <v>7942</v>
      </c>
      <c r="V32" s="226" t="s">
        <v>7948</v>
      </c>
      <c r="W32" s="6" t="s">
        <v>7994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7995</v>
      </c>
      <c r="B33" s="6" t="s">
        <v>7946</v>
      </c>
      <c r="C33" s="224" t="n">
        <v>5</v>
      </c>
      <c r="D33" s="196"/>
      <c r="E33" s="196"/>
      <c r="F33" s="196" t="s">
        <v>1270</v>
      </c>
      <c r="G33" s="196" t="s">
        <v>7996</v>
      </c>
      <c r="H33" s="28" t="s">
        <v>7937</v>
      </c>
      <c r="I33" s="28" t="s">
        <v>6875</v>
      </c>
      <c r="J33" s="6" t="s">
        <v>7997</v>
      </c>
      <c r="K33" s="196" t="n">
        <v>2</v>
      </c>
      <c r="L33" s="196" t="s">
        <v>6461</v>
      </c>
      <c r="M33" s="6" t="s">
        <v>7998</v>
      </c>
      <c r="N33" s="196" t="s">
        <v>6474</v>
      </c>
      <c r="O33" s="28" t="s">
        <v>6464</v>
      </c>
      <c r="P33" s="28" t="s">
        <v>608</v>
      </c>
      <c r="Q33" s="28" t="s">
        <v>7987</v>
      </c>
      <c r="R33" s="28" t="s">
        <v>608</v>
      </c>
      <c r="S33" s="28" t="s">
        <v>608</v>
      </c>
      <c r="T33" s="28" t="s">
        <v>608</v>
      </c>
      <c r="U33" s="28" t="s">
        <v>7942</v>
      </c>
      <c r="V33" s="226" t="s">
        <v>7948</v>
      </c>
      <c r="W33" s="6" t="s">
        <v>7999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8000</v>
      </c>
      <c r="B34" s="6" t="s">
        <v>8001</v>
      </c>
      <c r="C34" s="224" t="n">
        <v>7</v>
      </c>
      <c r="D34" s="196"/>
      <c r="E34" s="196"/>
      <c r="F34" s="196" t="s">
        <v>1270</v>
      </c>
      <c r="G34" s="196" t="s">
        <v>8002</v>
      </c>
      <c r="H34" s="28" t="s">
        <v>7937</v>
      </c>
      <c r="I34" s="28" t="s">
        <v>8003</v>
      </c>
      <c r="J34" s="6" t="s">
        <v>8004</v>
      </c>
      <c r="K34" s="196" t="n">
        <v>1</v>
      </c>
      <c r="L34" s="196" t="s">
        <v>6461</v>
      </c>
      <c r="M34" s="6" t="s">
        <v>7940</v>
      </c>
      <c r="N34" s="196" t="s">
        <v>6463</v>
      </c>
      <c r="O34" s="28" t="s">
        <v>6464</v>
      </c>
      <c r="P34" s="28" t="s">
        <v>608</v>
      </c>
      <c r="Q34" s="28" t="s">
        <v>7987</v>
      </c>
      <c r="R34" s="28" t="s">
        <v>608</v>
      </c>
      <c r="S34" s="28" t="s">
        <v>608</v>
      </c>
      <c r="T34" s="28" t="s">
        <v>608</v>
      </c>
      <c r="U34" s="28" t="s">
        <v>7942</v>
      </c>
      <c r="V34" s="226" t="s">
        <v>7948</v>
      </c>
      <c r="W34" s="6" t="s">
        <v>8005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8006</v>
      </c>
      <c r="B35" s="6" t="s">
        <v>8007</v>
      </c>
      <c r="C35" s="224" t="n">
        <v>4</v>
      </c>
      <c r="D35" s="196"/>
      <c r="E35" s="196"/>
      <c r="F35" s="196" t="s">
        <v>1270</v>
      </c>
      <c r="G35" s="196" t="s">
        <v>8008</v>
      </c>
      <c r="H35" s="28" t="s">
        <v>8009</v>
      </c>
      <c r="I35" s="28" t="s">
        <v>7873</v>
      </c>
      <c r="J35" s="6" t="s">
        <v>8010</v>
      </c>
      <c r="K35" s="196" t="n">
        <v>2</v>
      </c>
      <c r="L35" s="196" t="s">
        <v>6461</v>
      </c>
      <c r="M35" s="6" t="s">
        <v>8011</v>
      </c>
      <c r="N35" s="196" t="s">
        <v>6474</v>
      </c>
      <c r="O35" s="28" t="s">
        <v>6464</v>
      </c>
      <c r="P35" s="28" t="s">
        <v>608</v>
      </c>
      <c r="Q35" s="28" t="s">
        <v>8012</v>
      </c>
      <c r="R35" s="28" t="s">
        <v>608</v>
      </c>
      <c r="S35" s="28" t="s">
        <v>608</v>
      </c>
      <c r="T35" s="28" t="s">
        <v>608</v>
      </c>
      <c r="U35" s="28" t="s">
        <v>7942</v>
      </c>
      <c r="V35" s="226" t="s">
        <v>8013</v>
      </c>
      <c r="W35" s="6" t="s">
        <v>8014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8015</v>
      </c>
      <c r="B36" s="6" t="s">
        <v>8016</v>
      </c>
      <c r="C36" s="224" t="n">
        <v>300000</v>
      </c>
      <c r="D36" s="196"/>
      <c r="E36" s="196"/>
      <c r="F36" s="196" t="s">
        <v>8017</v>
      </c>
      <c r="G36" s="196" t="s">
        <v>8018</v>
      </c>
      <c r="H36" s="28" t="s">
        <v>1210</v>
      </c>
      <c r="I36" s="28" t="s">
        <v>8019</v>
      </c>
      <c r="J36" s="6" t="s">
        <v>8020</v>
      </c>
      <c r="K36" s="196" t="n">
        <v>1</v>
      </c>
      <c r="L36" s="196" t="s">
        <v>6461</v>
      </c>
      <c r="M36" s="6" t="s">
        <v>8021</v>
      </c>
      <c r="N36" s="196" t="s">
        <v>6463</v>
      </c>
      <c r="O36" s="28" t="s">
        <v>6464</v>
      </c>
      <c r="P36" s="28" t="s">
        <v>608</v>
      </c>
      <c r="Q36" s="28" t="s">
        <v>8022</v>
      </c>
      <c r="R36" s="28" t="s">
        <v>608</v>
      </c>
      <c r="S36" s="28" t="s">
        <v>608</v>
      </c>
      <c r="T36" s="28" t="s">
        <v>608</v>
      </c>
      <c r="U36" s="28" t="s">
        <v>7942</v>
      </c>
      <c r="V36" s="226" t="s">
        <v>8023</v>
      </c>
      <c r="W36" s="6" t="s">
        <v>8024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8025</v>
      </c>
      <c r="B37" s="6" t="s">
        <v>8026</v>
      </c>
      <c r="C37" s="224" t="n">
        <v>500</v>
      </c>
      <c r="D37" s="196"/>
      <c r="E37" s="196"/>
      <c r="F37" s="196" t="s">
        <v>8017</v>
      </c>
      <c r="G37" s="196" t="s">
        <v>8027</v>
      </c>
      <c r="H37" s="28" t="s">
        <v>1210</v>
      </c>
      <c r="I37" s="28" t="s">
        <v>8028</v>
      </c>
      <c r="J37" s="6" t="s">
        <v>8029</v>
      </c>
      <c r="K37" s="196" t="n">
        <v>1</v>
      </c>
      <c r="L37" s="196" t="s">
        <v>6461</v>
      </c>
      <c r="M37" s="6" t="s">
        <v>8021</v>
      </c>
      <c r="N37" s="196" t="s">
        <v>6463</v>
      </c>
      <c r="O37" s="28" t="s">
        <v>6464</v>
      </c>
      <c r="P37" s="28" t="s">
        <v>608</v>
      </c>
      <c r="Q37" s="28" t="s">
        <v>8022</v>
      </c>
      <c r="R37" s="28" t="s">
        <v>608</v>
      </c>
      <c r="S37" s="28" t="s">
        <v>608</v>
      </c>
      <c r="T37" s="28" t="s">
        <v>608</v>
      </c>
      <c r="U37" s="28" t="s">
        <v>7942</v>
      </c>
      <c r="V37" s="226" t="s">
        <v>8030</v>
      </c>
      <c r="W37" s="6" t="s">
        <v>8031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1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8032</v>
      </c>
      <c r="B38" s="6" t="s">
        <v>8033</v>
      </c>
      <c r="C38" s="224" t="n">
        <v>3.8</v>
      </c>
      <c r="D38" s="196"/>
      <c r="E38" s="196"/>
      <c r="F38" s="28" t="s">
        <v>867</v>
      </c>
      <c r="G38" s="28" t="s">
        <v>8034</v>
      </c>
      <c r="H38" s="28" t="s">
        <v>1210</v>
      </c>
      <c r="I38" s="28" t="s">
        <v>7467</v>
      </c>
      <c r="J38" s="6" t="s">
        <v>8035</v>
      </c>
      <c r="K38" s="196" t="n">
        <v>2</v>
      </c>
      <c r="L38" s="196" t="s">
        <v>6461</v>
      </c>
      <c r="M38" s="6" t="s">
        <v>8036</v>
      </c>
      <c r="N38" s="196" t="s">
        <v>6474</v>
      </c>
      <c r="O38" s="28" t="s">
        <v>6464</v>
      </c>
      <c r="P38" s="28" t="s">
        <v>608</v>
      </c>
      <c r="Q38" s="28" t="s">
        <v>8037</v>
      </c>
      <c r="R38" s="28" t="s">
        <v>608</v>
      </c>
      <c r="S38" s="28" t="s">
        <v>608</v>
      </c>
      <c r="T38" s="28" t="s">
        <v>608</v>
      </c>
      <c r="U38" s="28" t="s">
        <v>7942</v>
      </c>
      <c r="V38" s="226" t="s">
        <v>8038</v>
      </c>
      <c r="W38" s="6" t="s">
        <v>8039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8040</v>
      </c>
      <c r="B39" s="6" t="s">
        <v>8041</v>
      </c>
      <c r="C39" s="224" t="n">
        <v>0.789</v>
      </c>
      <c r="D39" s="196"/>
      <c r="E39" s="196"/>
      <c r="F39" s="28" t="s">
        <v>867</v>
      </c>
      <c r="G39" s="28" t="s">
        <v>8042</v>
      </c>
      <c r="H39" s="28" t="s">
        <v>1210</v>
      </c>
      <c r="I39" s="28" t="s">
        <v>7467</v>
      </c>
      <c r="J39" s="6" t="s">
        <v>8035</v>
      </c>
      <c r="K39" s="196" t="n">
        <v>2</v>
      </c>
      <c r="L39" s="196" t="s">
        <v>6461</v>
      </c>
      <c r="M39" s="6" t="s">
        <v>8036</v>
      </c>
      <c r="N39" s="196" t="s">
        <v>6474</v>
      </c>
      <c r="O39" s="28" t="s">
        <v>6464</v>
      </c>
      <c r="P39" s="28" t="s">
        <v>608</v>
      </c>
      <c r="Q39" s="28" t="s">
        <v>8037</v>
      </c>
      <c r="R39" s="28" t="s">
        <v>608</v>
      </c>
      <c r="S39" s="28" t="s">
        <v>608</v>
      </c>
      <c r="T39" s="28" t="s">
        <v>608</v>
      </c>
      <c r="U39" s="28" t="s">
        <v>7942</v>
      </c>
      <c r="V39" s="226" t="s">
        <v>8043</v>
      </c>
      <c r="W39" s="6" t="s">
        <v>8039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8044</v>
      </c>
      <c r="B40" s="6" t="s">
        <v>8045</v>
      </c>
      <c r="C40" s="224" t="n">
        <v>2.16</v>
      </c>
      <c r="D40" s="196"/>
      <c r="E40" s="196"/>
      <c r="F40" s="28" t="s">
        <v>867</v>
      </c>
      <c r="G40" s="28" t="s">
        <v>8046</v>
      </c>
      <c r="H40" s="28" t="s">
        <v>1210</v>
      </c>
      <c r="I40" s="28" t="s">
        <v>7467</v>
      </c>
      <c r="J40" s="6" t="s">
        <v>8035</v>
      </c>
      <c r="K40" s="196" t="n">
        <v>2</v>
      </c>
      <c r="L40" s="196" t="s">
        <v>6461</v>
      </c>
      <c r="M40" s="6" t="s">
        <v>8036</v>
      </c>
      <c r="N40" s="196" t="s">
        <v>6474</v>
      </c>
      <c r="O40" s="28" t="s">
        <v>6464</v>
      </c>
      <c r="P40" s="28" t="s">
        <v>608</v>
      </c>
      <c r="Q40" s="28" t="s">
        <v>8037</v>
      </c>
      <c r="R40" s="28" t="s">
        <v>608</v>
      </c>
      <c r="S40" s="28" t="s">
        <v>608</v>
      </c>
      <c r="T40" s="28" t="s">
        <v>608</v>
      </c>
      <c r="U40" s="28" t="s">
        <v>7942</v>
      </c>
      <c r="V40" s="226" t="s">
        <v>8043</v>
      </c>
      <c r="W40" s="6" t="s">
        <v>8039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8047</v>
      </c>
      <c r="B41" s="6" t="s">
        <v>8048</v>
      </c>
      <c r="C41" s="224" t="n">
        <v>0.351</v>
      </c>
      <c r="D41" s="196"/>
      <c r="E41" s="196"/>
      <c r="F41" s="28" t="s">
        <v>867</v>
      </c>
      <c r="G41" s="28" t="s">
        <v>8049</v>
      </c>
      <c r="H41" s="28" t="s">
        <v>1210</v>
      </c>
      <c r="I41" s="28" t="s">
        <v>7467</v>
      </c>
      <c r="J41" s="6" t="s">
        <v>8050</v>
      </c>
      <c r="K41" s="196" t="n">
        <v>2</v>
      </c>
      <c r="L41" s="196" t="s">
        <v>6461</v>
      </c>
      <c r="M41" s="6" t="s">
        <v>8036</v>
      </c>
      <c r="N41" s="196" t="s">
        <v>6474</v>
      </c>
      <c r="O41" s="28" t="s">
        <v>6464</v>
      </c>
      <c r="P41" s="28" t="s">
        <v>608</v>
      </c>
      <c r="Q41" s="28" t="s">
        <v>8037</v>
      </c>
      <c r="R41" s="28" t="s">
        <v>608</v>
      </c>
      <c r="S41" s="28" t="s">
        <v>608</v>
      </c>
      <c r="T41" s="28" t="s">
        <v>608</v>
      </c>
      <c r="U41" s="28" t="s">
        <v>7942</v>
      </c>
      <c r="V41" s="226" t="s">
        <v>8051</v>
      </c>
      <c r="W41" s="6" t="s">
        <v>8039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8052</v>
      </c>
      <c r="B42" s="6" t="s">
        <v>8053</v>
      </c>
      <c r="C42" s="224" t="n">
        <v>0.75</v>
      </c>
      <c r="D42" s="196"/>
      <c r="E42" s="196"/>
      <c r="F42" s="28" t="s">
        <v>93</v>
      </c>
      <c r="G42" s="196" t="s">
        <v>8054</v>
      </c>
      <c r="H42" s="28" t="s">
        <v>1199</v>
      </c>
      <c r="I42" s="28" t="s">
        <v>8055</v>
      </c>
      <c r="J42" s="6" t="s">
        <v>8056</v>
      </c>
      <c r="K42" s="196" t="n">
        <v>2</v>
      </c>
      <c r="L42" s="196" t="s">
        <v>6461</v>
      </c>
      <c r="M42" s="6" t="s">
        <v>8057</v>
      </c>
      <c r="N42" s="196" t="s">
        <v>6474</v>
      </c>
      <c r="O42" s="28" t="s">
        <v>6464</v>
      </c>
      <c r="P42" s="28" t="s">
        <v>608</v>
      </c>
      <c r="Q42" s="28" t="s">
        <v>8058</v>
      </c>
      <c r="R42" s="28" t="s">
        <v>608</v>
      </c>
      <c r="S42" s="28" t="s">
        <v>608</v>
      </c>
      <c r="T42" s="28" t="s">
        <v>608</v>
      </c>
      <c r="U42" s="28" t="s">
        <v>7942</v>
      </c>
      <c r="V42" s="226" t="s">
        <v>7948</v>
      </c>
      <c r="W42" s="6" t="s">
        <v>8059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5541</v>
      </c>
      <c r="B43" s="6" t="s">
        <v>8053</v>
      </c>
      <c r="C43" s="224" t="n">
        <v>0.7</v>
      </c>
      <c r="D43" s="196"/>
      <c r="E43" s="196"/>
      <c r="F43" s="28" t="s">
        <v>93</v>
      </c>
      <c r="G43" s="28" t="s">
        <v>8060</v>
      </c>
      <c r="H43" s="28" t="s">
        <v>1199</v>
      </c>
      <c r="I43" s="28" t="s">
        <v>8061</v>
      </c>
      <c r="J43" s="6" t="s">
        <v>8062</v>
      </c>
      <c r="K43" s="196" t="n">
        <v>2</v>
      </c>
      <c r="L43" s="196" t="s">
        <v>6461</v>
      </c>
      <c r="M43" s="6" t="s">
        <v>7968</v>
      </c>
      <c r="N43" s="196" t="s">
        <v>6474</v>
      </c>
      <c r="O43" s="28" t="s">
        <v>6464</v>
      </c>
      <c r="P43" s="28" t="s">
        <v>608</v>
      </c>
      <c r="Q43" s="28" t="s">
        <v>8058</v>
      </c>
      <c r="R43" s="28" t="s">
        <v>608</v>
      </c>
      <c r="S43" s="28" t="s">
        <v>608</v>
      </c>
      <c r="T43" s="28" t="s">
        <v>608</v>
      </c>
      <c r="U43" s="28" t="s">
        <v>7942</v>
      </c>
      <c r="V43" s="6" t="s">
        <v>8063</v>
      </c>
      <c r="W43" s="6" t="s">
        <v>8064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8065</v>
      </c>
      <c r="B44" s="6" t="s">
        <v>8066</v>
      </c>
      <c r="C44" s="224" t="n">
        <v>2.7</v>
      </c>
      <c r="D44" s="196"/>
      <c r="E44" s="196"/>
      <c r="F44" s="28" t="s">
        <v>867</v>
      </c>
      <c r="G44" s="28" t="s">
        <v>8067</v>
      </c>
      <c r="H44" s="28" t="s">
        <v>1199</v>
      </c>
      <c r="I44" s="28" t="s">
        <v>8068</v>
      </c>
      <c r="J44" s="6" t="s">
        <v>8069</v>
      </c>
      <c r="K44" s="196" t="n">
        <v>2</v>
      </c>
      <c r="L44" s="196" t="s">
        <v>6461</v>
      </c>
      <c r="M44" s="6" t="s">
        <v>8070</v>
      </c>
      <c r="N44" s="196" t="s">
        <v>6474</v>
      </c>
      <c r="O44" s="28" t="s">
        <v>6464</v>
      </c>
      <c r="P44" s="28" t="s">
        <v>608</v>
      </c>
      <c r="Q44" s="28" t="s">
        <v>8058</v>
      </c>
      <c r="R44" s="28" t="s">
        <v>608</v>
      </c>
      <c r="S44" s="28" t="s">
        <v>608</v>
      </c>
      <c r="T44" s="28" t="s">
        <v>608</v>
      </c>
      <c r="U44" s="28" t="s">
        <v>7942</v>
      </c>
      <c r="V44" s="226" t="s">
        <v>7948</v>
      </c>
      <c r="W44" s="6" t="s">
        <v>8071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8072</v>
      </c>
      <c r="B45" s="6" t="s">
        <v>8073</v>
      </c>
      <c r="C45" s="224" t="n">
        <v>8</v>
      </c>
      <c r="D45" s="196"/>
      <c r="E45" s="196"/>
      <c r="F45" s="28" t="s">
        <v>867</v>
      </c>
      <c r="G45" s="28" t="s">
        <v>8074</v>
      </c>
      <c r="H45" s="28" t="s">
        <v>1199</v>
      </c>
      <c r="I45" s="28" t="s">
        <v>8075</v>
      </c>
      <c r="J45" s="6" t="s">
        <v>8076</v>
      </c>
      <c r="K45" s="196" t="n">
        <v>2</v>
      </c>
      <c r="L45" s="196" t="s">
        <v>6461</v>
      </c>
      <c r="M45" s="6" t="s">
        <v>8077</v>
      </c>
      <c r="N45" s="196" t="s">
        <v>6474</v>
      </c>
      <c r="O45" s="28" t="s">
        <v>6464</v>
      </c>
      <c r="P45" s="28" t="s">
        <v>608</v>
      </c>
      <c r="Q45" s="28" t="s">
        <v>8058</v>
      </c>
      <c r="R45" s="28" t="s">
        <v>608</v>
      </c>
      <c r="S45" s="28" t="s">
        <v>608</v>
      </c>
      <c r="T45" s="28" t="s">
        <v>608</v>
      </c>
      <c r="U45" s="28" t="s">
        <v>7942</v>
      </c>
      <c r="V45" s="6" t="s">
        <v>8078</v>
      </c>
      <c r="W45" s="6" t="s">
        <v>8079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5617</v>
      </c>
      <c r="B46" s="6" t="s">
        <v>8080</v>
      </c>
      <c r="C46" s="224" t="n">
        <v>6.7</v>
      </c>
      <c r="D46" s="196"/>
      <c r="E46" s="196"/>
      <c r="F46" s="28" t="s">
        <v>867</v>
      </c>
      <c r="G46" s="28" t="s">
        <v>8081</v>
      </c>
      <c r="H46" s="28" t="s">
        <v>1199</v>
      </c>
      <c r="I46" s="28" t="s">
        <v>8082</v>
      </c>
      <c r="J46" s="6" t="s">
        <v>8083</v>
      </c>
      <c r="K46" s="196" t="n">
        <v>2</v>
      </c>
      <c r="L46" s="196" t="s">
        <v>6461</v>
      </c>
      <c r="M46" s="6" t="s">
        <v>7968</v>
      </c>
      <c r="N46" s="196" t="s">
        <v>6474</v>
      </c>
      <c r="O46" s="28" t="s">
        <v>6464</v>
      </c>
      <c r="P46" s="28" t="s">
        <v>608</v>
      </c>
      <c r="Q46" s="28" t="s">
        <v>8084</v>
      </c>
      <c r="R46" s="28" t="s">
        <v>608</v>
      </c>
      <c r="S46" s="28" t="s">
        <v>608</v>
      </c>
      <c r="T46" s="28" t="s">
        <v>608</v>
      </c>
      <c r="U46" s="28" t="s">
        <v>7942</v>
      </c>
      <c r="V46" s="226" t="s">
        <v>7948</v>
      </c>
      <c r="W46" s="6" t="s">
        <v>8085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8086</v>
      </c>
      <c r="B47" s="6" t="s">
        <v>8087</v>
      </c>
      <c r="C47" s="224" t="n">
        <v>0.2</v>
      </c>
      <c r="D47" s="196"/>
      <c r="E47" s="196"/>
      <c r="F47" s="28" t="s">
        <v>93</v>
      </c>
      <c r="G47" s="28" t="s">
        <v>8088</v>
      </c>
      <c r="H47" s="28" t="s">
        <v>8089</v>
      </c>
      <c r="I47" s="28" t="s">
        <v>8090</v>
      </c>
      <c r="J47" s="6" t="s">
        <v>8091</v>
      </c>
      <c r="K47" s="196" t="n">
        <v>2</v>
      </c>
      <c r="L47" s="196" t="s">
        <v>6461</v>
      </c>
      <c r="M47" s="226" t="s">
        <v>8092</v>
      </c>
      <c r="N47" s="196" t="s">
        <v>6474</v>
      </c>
      <c r="O47" s="28" t="s">
        <v>6464</v>
      </c>
      <c r="P47" s="28" t="s">
        <v>608</v>
      </c>
      <c r="Q47" s="28" t="s">
        <v>8093</v>
      </c>
      <c r="R47" s="28" t="s">
        <v>608</v>
      </c>
      <c r="S47" s="28" t="s">
        <v>608</v>
      </c>
      <c r="T47" s="28" t="s">
        <v>608</v>
      </c>
      <c r="U47" s="28" t="s">
        <v>7942</v>
      </c>
      <c r="V47" s="226" t="s">
        <v>8094</v>
      </c>
      <c r="W47" s="6" t="s">
        <v>8095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8096</v>
      </c>
      <c r="B48" s="6" t="s">
        <v>8097</v>
      </c>
      <c r="C48" s="224" t="n">
        <v>13</v>
      </c>
      <c r="D48" s="196"/>
      <c r="E48" s="224" t="n">
        <v>30</v>
      </c>
      <c r="F48" s="28" t="s">
        <v>1320</v>
      </c>
      <c r="G48" s="196" t="s">
        <v>8098</v>
      </c>
      <c r="H48" s="28" t="s">
        <v>8099</v>
      </c>
      <c r="I48" s="28" t="s">
        <v>6278</v>
      </c>
      <c r="J48" s="6" t="s">
        <v>8100</v>
      </c>
      <c r="K48" s="196" t="n">
        <v>1</v>
      </c>
      <c r="L48" s="196" t="s">
        <v>6461</v>
      </c>
      <c r="M48" s="6" t="s">
        <v>8101</v>
      </c>
      <c r="N48" s="196" t="s">
        <v>6463</v>
      </c>
      <c r="O48" s="28" t="s">
        <v>6464</v>
      </c>
      <c r="P48" s="28" t="s">
        <v>608</v>
      </c>
      <c r="Q48" s="28" t="s">
        <v>8102</v>
      </c>
      <c r="R48" s="28" t="s">
        <v>608</v>
      </c>
      <c r="S48" s="28" t="s">
        <v>608</v>
      </c>
      <c r="T48" s="28" t="s">
        <v>608</v>
      </c>
      <c r="U48" s="28" t="s">
        <v>7942</v>
      </c>
      <c r="V48" s="6" t="s">
        <v>8103</v>
      </c>
      <c r="W48" s="6" t="s">
        <v>8104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8105</v>
      </c>
      <c r="B49" s="6" t="s">
        <v>8106</v>
      </c>
      <c r="C49" s="224" t="n">
        <v>6</v>
      </c>
      <c r="D49" s="196"/>
      <c r="E49" s="196"/>
      <c r="F49" s="196" t="s">
        <v>7918</v>
      </c>
      <c r="G49" s="28" t="s">
        <v>8107</v>
      </c>
      <c r="H49" s="28" t="s">
        <v>8108</v>
      </c>
      <c r="I49" s="28" t="s">
        <v>8109</v>
      </c>
      <c r="J49" s="6" t="s">
        <v>8110</v>
      </c>
      <c r="K49" s="196" t="n">
        <v>1</v>
      </c>
      <c r="L49" s="196" t="s">
        <v>6461</v>
      </c>
      <c r="M49" s="6" t="s">
        <v>7940</v>
      </c>
      <c r="N49" s="196" t="s">
        <v>6463</v>
      </c>
      <c r="O49" s="28" t="s">
        <v>6464</v>
      </c>
      <c r="P49" s="28" t="s">
        <v>608</v>
      </c>
      <c r="Q49" s="28" t="s">
        <v>8111</v>
      </c>
      <c r="R49" s="28" t="s">
        <v>608</v>
      </c>
      <c r="S49" s="28" t="s">
        <v>608</v>
      </c>
      <c r="T49" s="28" t="s">
        <v>608</v>
      </c>
      <c r="U49" s="28" t="s">
        <v>7942</v>
      </c>
      <c r="V49" s="226" t="s">
        <v>8112</v>
      </c>
      <c r="W49" s="6" t="s">
        <v>8113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8114</v>
      </c>
      <c r="B50" s="226" t="s">
        <v>8115</v>
      </c>
      <c r="C50" s="224" t="n">
        <v>0.993</v>
      </c>
      <c r="D50" s="196"/>
      <c r="E50" s="196"/>
      <c r="F50" s="28" t="s">
        <v>93</v>
      </c>
      <c r="G50" s="28" t="s">
        <v>8116</v>
      </c>
      <c r="H50" s="28" t="s">
        <v>8117</v>
      </c>
      <c r="I50" s="28" t="s">
        <v>8118</v>
      </c>
      <c r="J50" s="6" t="s">
        <v>8119</v>
      </c>
      <c r="K50" s="196" t="n">
        <v>1</v>
      </c>
      <c r="L50" s="196" t="s">
        <v>6568</v>
      </c>
      <c r="M50" s="226" t="s">
        <v>8120</v>
      </c>
      <c r="N50" s="196" t="s">
        <v>6463</v>
      </c>
      <c r="O50" s="28" t="s">
        <v>6464</v>
      </c>
      <c r="P50" s="28" t="s">
        <v>608</v>
      </c>
      <c r="Q50" s="28" t="s">
        <v>8121</v>
      </c>
      <c r="R50" s="28" t="s">
        <v>608</v>
      </c>
      <c r="S50" s="28" t="s">
        <v>608</v>
      </c>
      <c r="T50" s="28" t="s">
        <v>608</v>
      </c>
      <c r="U50" s="28" t="s">
        <v>7942</v>
      </c>
      <c r="V50" s="6" t="s">
        <v>8122</v>
      </c>
      <c r="W50" s="6" t="s">
        <v>8123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1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8124</v>
      </c>
      <c r="B51" s="226" t="s">
        <v>8125</v>
      </c>
      <c r="C51" s="224" t="n">
        <v>0.9987</v>
      </c>
      <c r="D51" s="196"/>
      <c r="E51" s="196"/>
      <c r="F51" s="28" t="s">
        <v>93</v>
      </c>
      <c r="G51" s="28" t="s">
        <v>8126</v>
      </c>
      <c r="H51" s="28" t="s">
        <v>8117</v>
      </c>
      <c r="I51" s="28" t="s">
        <v>8118</v>
      </c>
      <c r="J51" s="6" t="s">
        <v>8119</v>
      </c>
      <c r="K51" s="196" t="n">
        <v>1</v>
      </c>
      <c r="L51" s="196" t="s">
        <v>6568</v>
      </c>
      <c r="M51" s="226" t="s">
        <v>8120</v>
      </c>
      <c r="N51" s="196" t="s">
        <v>6463</v>
      </c>
      <c r="O51" s="28" t="s">
        <v>6464</v>
      </c>
      <c r="P51" s="28" t="s">
        <v>608</v>
      </c>
      <c r="Q51" s="28" t="s">
        <v>8121</v>
      </c>
      <c r="R51" s="28" t="s">
        <v>608</v>
      </c>
      <c r="S51" s="28" t="s">
        <v>608</v>
      </c>
      <c r="T51" s="28" t="s">
        <v>608</v>
      </c>
      <c r="U51" s="28" t="s">
        <v>7942</v>
      </c>
      <c r="V51" s="6" t="s">
        <v>8127</v>
      </c>
      <c r="W51" s="6" t="s">
        <v>8128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1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8129</v>
      </c>
      <c r="B52" s="6" t="s">
        <v>8130</v>
      </c>
      <c r="C52" s="224" t="n">
        <v>0.919</v>
      </c>
      <c r="D52" s="196"/>
      <c r="E52" s="196"/>
      <c r="F52" s="28" t="s">
        <v>93</v>
      </c>
      <c r="G52" s="28" t="s">
        <v>8131</v>
      </c>
      <c r="H52" s="28" t="s">
        <v>8132</v>
      </c>
      <c r="I52" s="28" t="s">
        <v>8133</v>
      </c>
      <c r="J52" s="6" t="s">
        <v>8134</v>
      </c>
      <c r="K52" s="196" t="n">
        <v>2</v>
      </c>
      <c r="L52" s="196" t="s">
        <v>6461</v>
      </c>
      <c r="M52" s="6" t="s">
        <v>8135</v>
      </c>
      <c r="N52" s="196" t="s">
        <v>6463</v>
      </c>
      <c r="O52" s="28" t="s">
        <v>6464</v>
      </c>
      <c r="P52" s="28" t="s">
        <v>608</v>
      </c>
      <c r="Q52" s="28" t="s">
        <v>8136</v>
      </c>
      <c r="R52" s="28" t="s">
        <v>608</v>
      </c>
      <c r="S52" s="28" t="s">
        <v>608</v>
      </c>
      <c r="T52" s="28" t="s">
        <v>608</v>
      </c>
      <c r="U52" s="28" t="s">
        <v>7942</v>
      </c>
      <c r="V52" s="6" t="s">
        <v>8122</v>
      </c>
      <c r="W52" s="6" t="s">
        <v>8137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8138</v>
      </c>
      <c r="B53" s="6" t="s">
        <v>8139</v>
      </c>
      <c r="C53" s="224" t="n">
        <v>0.451</v>
      </c>
      <c r="D53" s="196"/>
      <c r="E53" s="196"/>
      <c r="F53" s="28" t="s">
        <v>1508</v>
      </c>
      <c r="G53" s="196" t="s">
        <v>8140</v>
      </c>
      <c r="H53" s="28" t="s">
        <v>7937</v>
      </c>
      <c r="I53" s="28" t="s">
        <v>8141</v>
      </c>
      <c r="J53" s="6" t="s">
        <v>8142</v>
      </c>
      <c r="K53" s="196" t="n">
        <v>1</v>
      </c>
      <c r="L53" s="196" t="s">
        <v>6461</v>
      </c>
      <c r="M53" s="6" t="s">
        <v>8143</v>
      </c>
      <c r="N53" s="196" t="s">
        <v>6463</v>
      </c>
      <c r="O53" s="28" t="s">
        <v>6464</v>
      </c>
      <c r="P53" s="28" t="s">
        <v>608</v>
      </c>
      <c r="Q53" s="28" t="s">
        <v>8144</v>
      </c>
      <c r="R53" s="28" t="s">
        <v>608</v>
      </c>
      <c r="S53" s="28" t="s">
        <v>608</v>
      </c>
      <c r="T53" s="28" t="s">
        <v>608</v>
      </c>
      <c r="U53" s="28" t="s">
        <v>8145</v>
      </c>
      <c r="V53" s="226" t="s">
        <v>7948</v>
      </c>
      <c r="W53" s="6" t="s">
        <v>8146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8147</v>
      </c>
      <c r="B54" s="6" t="s">
        <v>8139</v>
      </c>
      <c r="C54" s="224" t="n">
        <v>2.627</v>
      </c>
      <c r="D54" s="196"/>
      <c r="E54" s="196"/>
      <c r="F54" s="28" t="s">
        <v>1508</v>
      </c>
      <c r="G54" s="196" t="s">
        <v>8148</v>
      </c>
      <c r="H54" s="28" t="s">
        <v>7937</v>
      </c>
      <c r="I54" s="28" t="s">
        <v>8141</v>
      </c>
      <c r="J54" s="6" t="s">
        <v>8142</v>
      </c>
      <c r="K54" s="196" t="n">
        <v>1</v>
      </c>
      <c r="L54" s="196" t="s">
        <v>6461</v>
      </c>
      <c r="M54" s="6" t="s">
        <v>8143</v>
      </c>
      <c r="N54" s="196" t="s">
        <v>6463</v>
      </c>
      <c r="O54" s="28" t="s">
        <v>6464</v>
      </c>
      <c r="P54" s="28" t="s">
        <v>608</v>
      </c>
      <c r="Q54" s="28" t="s">
        <v>8144</v>
      </c>
      <c r="R54" s="28" t="s">
        <v>608</v>
      </c>
      <c r="S54" s="28" t="s">
        <v>608</v>
      </c>
      <c r="T54" s="28" t="s">
        <v>608</v>
      </c>
      <c r="U54" s="28" t="s">
        <v>8145</v>
      </c>
      <c r="V54" s="226" t="s">
        <v>7948</v>
      </c>
      <c r="W54" s="6" t="s">
        <v>8149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5561</v>
      </c>
      <c r="B55" s="6" t="s">
        <v>8150</v>
      </c>
      <c r="C55" s="224" t="n">
        <v>0.07</v>
      </c>
      <c r="D55" s="224" t="n">
        <v>0.02</v>
      </c>
      <c r="E55" s="224" t="n">
        <v>0.07</v>
      </c>
      <c r="F55" s="28" t="s">
        <v>93</v>
      </c>
      <c r="G55" s="196" t="s">
        <v>8151</v>
      </c>
      <c r="H55" s="28" t="s">
        <v>7937</v>
      </c>
      <c r="I55" s="28" t="s">
        <v>8141</v>
      </c>
      <c r="J55" s="6" t="s">
        <v>8152</v>
      </c>
      <c r="K55" s="196" t="n">
        <v>1</v>
      </c>
      <c r="L55" s="196" t="s">
        <v>6461</v>
      </c>
      <c r="M55" s="6" t="s">
        <v>7940</v>
      </c>
      <c r="N55" s="196" t="s">
        <v>6463</v>
      </c>
      <c r="O55" s="28" t="s">
        <v>6464</v>
      </c>
      <c r="P55" s="28" t="s">
        <v>608</v>
      </c>
      <c r="Q55" s="28" t="s">
        <v>8153</v>
      </c>
      <c r="R55" s="28" t="s">
        <v>608</v>
      </c>
      <c r="S55" s="28" t="s">
        <v>608</v>
      </c>
      <c r="T55" s="28" t="s">
        <v>608</v>
      </c>
      <c r="U55" s="28" t="s">
        <v>8145</v>
      </c>
      <c r="V55" s="6" t="s">
        <v>8154</v>
      </c>
      <c r="W55" s="6" t="s">
        <v>8155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8156</v>
      </c>
      <c r="B56" s="6" t="s">
        <v>8157</v>
      </c>
      <c r="C56" s="224" t="n">
        <v>69.5</v>
      </c>
      <c r="D56" s="196"/>
      <c r="E56" s="196"/>
      <c r="F56" s="28" t="s">
        <v>279</v>
      </c>
      <c r="G56" s="28" t="s">
        <v>8158</v>
      </c>
      <c r="H56" s="28" t="s">
        <v>8159</v>
      </c>
      <c r="I56" s="28" t="s">
        <v>8160</v>
      </c>
      <c r="J56" s="6" t="s">
        <v>8161</v>
      </c>
      <c r="K56" s="196" t="n">
        <v>1</v>
      </c>
      <c r="L56" s="196" t="s">
        <v>6568</v>
      </c>
      <c r="M56" s="6" t="s">
        <v>8162</v>
      </c>
      <c r="N56" s="196" t="s">
        <v>6463</v>
      </c>
      <c r="O56" s="28" t="s">
        <v>6464</v>
      </c>
      <c r="P56" s="28" t="s">
        <v>608</v>
      </c>
      <c r="Q56" s="28" t="s">
        <v>8163</v>
      </c>
      <c r="R56" s="28" t="s">
        <v>608</v>
      </c>
      <c r="S56" s="28" t="s">
        <v>608</v>
      </c>
      <c r="T56" s="28" t="s">
        <v>608</v>
      </c>
      <c r="U56" s="28" t="s">
        <v>8145</v>
      </c>
      <c r="V56" s="226" t="s">
        <v>8164</v>
      </c>
      <c r="W56" s="6" t="s">
        <v>8165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8166</v>
      </c>
      <c r="B57" s="6" t="s">
        <v>8167</v>
      </c>
      <c r="C57" s="224" t="n">
        <v>295.6</v>
      </c>
      <c r="D57" s="196"/>
      <c r="E57" s="196"/>
      <c r="F57" s="28" t="s">
        <v>279</v>
      </c>
      <c r="G57" s="28" t="s">
        <v>8168</v>
      </c>
      <c r="H57" s="28" t="s">
        <v>8169</v>
      </c>
      <c r="I57" s="28" t="s">
        <v>8170</v>
      </c>
      <c r="J57" s="6" t="s">
        <v>8171</v>
      </c>
      <c r="K57" s="196" t="n">
        <v>1</v>
      </c>
      <c r="L57" s="196" t="s">
        <v>6568</v>
      </c>
      <c r="M57" s="6" t="s">
        <v>8172</v>
      </c>
      <c r="N57" s="196" t="s">
        <v>6463</v>
      </c>
      <c r="O57" s="28" t="s">
        <v>6464</v>
      </c>
      <c r="P57" s="28" t="s">
        <v>608</v>
      </c>
      <c r="Q57" s="28" t="s">
        <v>8173</v>
      </c>
      <c r="R57" s="28" t="s">
        <v>608</v>
      </c>
      <c r="S57" s="28" t="s">
        <v>608</v>
      </c>
      <c r="T57" s="28" t="s">
        <v>608</v>
      </c>
      <c r="U57" s="28" t="s">
        <v>8145</v>
      </c>
      <c r="V57" s="226" t="s">
        <v>8174</v>
      </c>
      <c r="W57" s="6" t="s">
        <v>8175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8176</v>
      </c>
      <c r="B58" s="226" t="s">
        <v>8177</v>
      </c>
      <c r="C58" s="224" t="n">
        <v>0.07</v>
      </c>
      <c r="D58" s="196"/>
      <c r="E58" s="224" t="n">
        <v>0.24</v>
      </c>
      <c r="F58" s="28" t="s">
        <v>93</v>
      </c>
      <c r="G58" s="28" t="s">
        <v>8178</v>
      </c>
      <c r="H58" s="28" t="s">
        <v>7937</v>
      </c>
      <c r="I58" s="28" t="s">
        <v>8179</v>
      </c>
      <c r="J58" s="6" t="s">
        <v>8180</v>
      </c>
      <c r="K58" s="196" t="n">
        <v>2</v>
      </c>
      <c r="L58" s="196" t="s">
        <v>6461</v>
      </c>
      <c r="M58" s="6" t="s">
        <v>8181</v>
      </c>
      <c r="N58" s="196" t="s">
        <v>8182</v>
      </c>
      <c r="O58" s="28" t="s">
        <v>6464</v>
      </c>
      <c r="P58" s="28" t="s">
        <v>608</v>
      </c>
      <c r="Q58" s="28" t="s">
        <v>8183</v>
      </c>
      <c r="R58" s="28" t="s">
        <v>608</v>
      </c>
      <c r="S58" s="28" t="s">
        <v>608</v>
      </c>
      <c r="T58" s="28" t="s">
        <v>608</v>
      </c>
      <c r="U58" s="28" t="s">
        <v>8145</v>
      </c>
      <c r="V58" s="226" t="s">
        <v>8184</v>
      </c>
      <c r="W58" s="6" t="s">
        <v>8185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8186</v>
      </c>
      <c r="B59" s="6" t="s">
        <v>8187</v>
      </c>
      <c r="C59" s="224" t="n">
        <v>27000</v>
      </c>
      <c r="D59" s="196"/>
      <c r="E59" s="224" t="n">
        <v>400000</v>
      </c>
      <c r="F59" s="28" t="s">
        <v>279</v>
      </c>
      <c r="G59" s="196" t="s">
        <v>8188</v>
      </c>
      <c r="H59" s="28" t="s">
        <v>7937</v>
      </c>
      <c r="I59" s="28" t="s">
        <v>8189</v>
      </c>
      <c r="J59" s="6" t="s">
        <v>8190</v>
      </c>
      <c r="K59" s="196" t="n">
        <v>1</v>
      </c>
      <c r="L59" s="196" t="s">
        <v>6461</v>
      </c>
      <c r="M59" s="6" t="s">
        <v>7940</v>
      </c>
      <c r="N59" s="196" t="s">
        <v>6463</v>
      </c>
      <c r="O59" s="28" t="s">
        <v>6464</v>
      </c>
      <c r="P59" s="28" t="s">
        <v>608</v>
      </c>
      <c r="Q59" s="28" t="s">
        <v>8191</v>
      </c>
      <c r="R59" s="28" t="s">
        <v>608</v>
      </c>
      <c r="S59" s="28" t="s">
        <v>608</v>
      </c>
      <c r="T59" s="28" t="s">
        <v>608</v>
      </c>
      <c r="U59" s="28" t="s">
        <v>8145</v>
      </c>
      <c r="V59" s="226" t="s">
        <v>8192</v>
      </c>
      <c r="W59" s="6" t="s">
        <v>8193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1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8194</v>
      </c>
      <c r="B60" s="6" t="s">
        <v>8195</v>
      </c>
      <c r="C60" s="224" t="n">
        <v>1</v>
      </c>
      <c r="D60" s="196"/>
      <c r="E60" s="196"/>
      <c r="F60" s="28" t="s">
        <v>8196</v>
      </c>
      <c r="G60" s="196" t="s">
        <v>8197</v>
      </c>
      <c r="H60" s="28" t="s">
        <v>7937</v>
      </c>
      <c r="I60" s="28" t="s">
        <v>8198</v>
      </c>
      <c r="J60" s="6" t="s">
        <v>8199</v>
      </c>
      <c r="K60" s="196" t="n">
        <v>2</v>
      </c>
      <c r="L60" s="196" t="s">
        <v>6461</v>
      </c>
      <c r="M60" s="6" t="s">
        <v>8200</v>
      </c>
      <c r="N60" s="196" t="s">
        <v>6474</v>
      </c>
      <c r="O60" s="28" t="s">
        <v>6464</v>
      </c>
      <c r="P60" s="28" t="s">
        <v>608</v>
      </c>
      <c r="Q60" s="28" t="s">
        <v>8201</v>
      </c>
      <c r="R60" s="28" t="s">
        <v>608</v>
      </c>
      <c r="S60" s="28" t="s">
        <v>608</v>
      </c>
      <c r="T60" s="28" t="s">
        <v>608</v>
      </c>
      <c r="U60" s="28" t="s">
        <v>8145</v>
      </c>
      <c r="V60" s="226" t="s">
        <v>8202</v>
      </c>
      <c r="W60" s="6" t="s">
        <v>8203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8204</v>
      </c>
      <c r="B61" s="6" t="s">
        <v>8205</v>
      </c>
      <c r="C61" s="224" t="n">
        <v>0.7</v>
      </c>
      <c r="D61" s="196"/>
      <c r="E61" s="196"/>
      <c r="F61" s="28" t="s">
        <v>8206</v>
      </c>
      <c r="G61" s="28" t="s">
        <v>8207</v>
      </c>
      <c r="H61" s="28" t="s">
        <v>7937</v>
      </c>
      <c r="I61" s="28" t="s">
        <v>8208</v>
      </c>
      <c r="J61" s="6" t="s">
        <v>8209</v>
      </c>
      <c r="K61" s="196" t="n">
        <v>2</v>
      </c>
      <c r="L61" s="196" t="s">
        <v>6461</v>
      </c>
      <c r="M61" s="6" t="s">
        <v>8200</v>
      </c>
      <c r="N61" s="196" t="s">
        <v>6474</v>
      </c>
      <c r="O61" s="28" t="s">
        <v>6464</v>
      </c>
      <c r="P61" s="28" t="s">
        <v>608</v>
      </c>
      <c r="Q61" s="28" t="s">
        <v>8210</v>
      </c>
      <c r="R61" s="28" t="s">
        <v>608</v>
      </c>
      <c r="S61" s="28" t="s">
        <v>608</v>
      </c>
      <c r="T61" s="28" t="s">
        <v>608</v>
      </c>
      <c r="U61" s="28" t="s">
        <v>8145</v>
      </c>
      <c r="V61" s="226" t="s">
        <v>8211</v>
      </c>
      <c r="W61" s="6" t="s">
        <v>8212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8213</v>
      </c>
      <c r="B62" s="6" t="s">
        <v>8214</v>
      </c>
      <c r="C62" s="224" t="n">
        <v>100</v>
      </c>
      <c r="D62" s="196"/>
      <c r="E62" s="196"/>
      <c r="F62" s="28" t="s">
        <v>8215</v>
      </c>
      <c r="G62" s="28" t="s">
        <v>8216</v>
      </c>
      <c r="H62" s="28" t="s">
        <v>1199</v>
      </c>
      <c r="I62" s="28" t="s">
        <v>7053</v>
      </c>
      <c r="J62" s="6" t="s">
        <v>8217</v>
      </c>
      <c r="K62" s="196" t="n">
        <v>2</v>
      </c>
      <c r="L62" s="196" t="s">
        <v>6461</v>
      </c>
      <c r="M62" s="6" t="s">
        <v>8200</v>
      </c>
      <c r="N62" s="196" t="s">
        <v>6474</v>
      </c>
      <c r="O62" s="28" t="s">
        <v>6464</v>
      </c>
      <c r="P62" s="28" t="s">
        <v>608</v>
      </c>
      <c r="Q62" s="28" t="s">
        <v>8218</v>
      </c>
      <c r="R62" s="28" t="s">
        <v>608</v>
      </c>
      <c r="S62" s="28" t="s">
        <v>608</v>
      </c>
      <c r="T62" s="28" t="s">
        <v>608</v>
      </c>
      <c r="U62" s="28" t="s">
        <v>8145</v>
      </c>
      <c r="V62" s="226" t="s">
        <v>8219</v>
      </c>
      <c r="W62" s="6" t="s">
        <v>8220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8221</v>
      </c>
      <c r="B63" s="226" t="s">
        <v>8222</v>
      </c>
      <c r="C63" s="224" t="n">
        <v>0.35</v>
      </c>
      <c r="D63" s="196"/>
      <c r="E63" s="196"/>
      <c r="F63" s="28" t="s">
        <v>93</v>
      </c>
      <c r="G63" s="28" t="s">
        <v>8223</v>
      </c>
      <c r="H63" s="28" t="s">
        <v>8224</v>
      </c>
      <c r="I63" s="28" t="s">
        <v>8225</v>
      </c>
      <c r="J63" s="6" t="s">
        <v>8226</v>
      </c>
      <c r="K63" s="196" t="n">
        <v>1</v>
      </c>
      <c r="L63" s="196" t="s">
        <v>6568</v>
      </c>
      <c r="M63" s="6" t="s">
        <v>8227</v>
      </c>
      <c r="N63" s="196" t="s">
        <v>6463</v>
      </c>
      <c r="O63" s="28" t="s">
        <v>6464</v>
      </c>
      <c r="P63" s="28" t="s">
        <v>608</v>
      </c>
      <c r="Q63" s="28" t="s">
        <v>8228</v>
      </c>
      <c r="R63" s="28" t="s">
        <v>608</v>
      </c>
      <c r="S63" s="28" t="s">
        <v>608</v>
      </c>
      <c r="T63" s="28" t="s">
        <v>608</v>
      </c>
      <c r="U63" s="28" t="s">
        <v>8145</v>
      </c>
      <c r="V63" s="226" t="s">
        <v>8229</v>
      </c>
      <c r="W63" s="6" t="s">
        <v>8230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8231</v>
      </c>
      <c r="B64" s="6" t="s">
        <v>7951</v>
      </c>
      <c r="C64" s="224" t="n">
        <v>8</v>
      </c>
      <c r="D64" s="196"/>
      <c r="E64" s="196"/>
      <c r="F64" s="196" t="s">
        <v>1270</v>
      </c>
      <c r="G64" s="196" t="s">
        <v>8232</v>
      </c>
      <c r="H64" s="28" t="s">
        <v>7953</v>
      </c>
      <c r="I64" s="28" t="s">
        <v>8233</v>
      </c>
      <c r="J64" s="6" t="s">
        <v>8234</v>
      </c>
      <c r="K64" s="196" t="n">
        <v>2</v>
      </c>
      <c r="L64" s="196" t="s">
        <v>6461</v>
      </c>
      <c r="M64" s="6" t="s">
        <v>8200</v>
      </c>
      <c r="N64" s="196" t="s">
        <v>6474</v>
      </c>
      <c r="O64" s="28" t="s">
        <v>6464</v>
      </c>
      <c r="P64" s="28" t="s">
        <v>608</v>
      </c>
      <c r="Q64" s="28" t="s">
        <v>8235</v>
      </c>
      <c r="R64" s="28" t="s">
        <v>608</v>
      </c>
      <c r="S64" s="28" t="s">
        <v>608</v>
      </c>
      <c r="T64" s="28" t="s">
        <v>608</v>
      </c>
      <c r="U64" s="28" t="s">
        <v>8145</v>
      </c>
      <c r="V64" s="226" t="s">
        <v>8236</v>
      </c>
      <c r="W64" s="6" t="s">
        <v>8237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8238</v>
      </c>
      <c r="B65" s="6" t="s">
        <v>8239</v>
      </c>
      <c r="C65" s="224" t="n">
        <v>3</v>
      </c>
      <c r="D65" s="196"/>
      <c r="E65" s="196"/>
      <c r="F65" s="28" t="s">
        <v>85</v>
      </c>
      <c r="G65" s="28" t="s">
        <v>8240</v>
      </c>
      <c r="H65" s="28" t="s">
        <v>1199</v>
      </c>
      <c r="I65" s="28" t="s">
        <v>7938</v>
      </c>
      <c r="J65" s="6" t="s">
        <v>8241</v>
      </c>
      <c r="K65" s="196" t="n">
        <v>1</v>
      </c>
      <c r="L65" s="196" t="s">
        <v>6461</v>
      </c>
      <c r="M65" s="6" t="s">
        <v>7940</v>
      </c>
      <c r="N65" s="196" t="s">
        <v>6463</v>
      </c>
      <c r="O65" s="28" t="s">
        <v>6464</v>
      </c>
      <c r="P65" s="28" t="s">
        <v>608</v>
      </c>
      <c r="Q65" s="28" t="s">
        <v>8242</v>
      </c>
      <c r="R65" s="28" t="s">
        <v>608</v>
      </c>
      <c r="S65" s="28" t="s">
        <v>608</v>
      </c>
      <c r="T65" s="28" t="s">
        <v>608</v>
      </c>
      <c r="U65" s="28" t="s">
        <v>8145</v>
      </c>
      <c r="V65" s="226" t="s">
        <v>8243</v>
      </c>
      <c r="W65" s="6" t="s">
        <v>8244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8245</v>
      </c>
      <c r="B66" s="6" t="s">
        <v>8246</v>
      </c>
      <c r="C66" s="224" t="n">
        <v>50</v>
      </c>
      <c r="D66" s="196"/>
      <c r="E66" s="224" t="n">
        <v>70</v>
      </c>
      <c r="F66" s="28" t="s">
        <v>1796</v>
      </c>
      <c r="G66" s="196" t="s">
        <v>8247</v>
      </c>
      <c r="H66" s="28" t="s">
        <v>1199</v>
      </c>
      <c r="I66" s="28" t="s">
        <v>3338</v>
      </c>
      <c r="J66" s="6" t="s">
        <v>8248</v>
      </c>
      <c r="K66" s="196" t="n">
        <v>2</v>
      </c>
      <c r="L66" s="196" t="s">
        <v>6461</v>
      </c>
      <c r="M66" s="226" t="s">
        <v>8249</v>
      </c>
      <c r="N66" s="196" t="s">
        <v>6474</v>
      </c>
      <c r="O66" s="28" t="s">
        <v>6464</v>
      </c>
      <c r="P66" s="28" t="s">
        <v>608</v>
      </c>
      <c r="Q66" s="28" t="s">
        <v>8250</v>
      </c>
      <c r="R66" s="28" t="s">
        <v>608</v>
      </c>
      <c r="S66" s="28" t="s">
        <v>608</v>
      </c>
      <c r="T66" s="28" t="s">
        <v>608</v>
      </c>
      <c r="U66" s="28" t="s">
        <v>8145</v>
      </c>
      <c r="V66" s="226" t="s">
        <v>8251</v>
      </c>
      <c r="W66" s="6" t="s">
        <v>8252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8253</v>
      </c>
      <c r="B67" s="6" t="s">
        <v>8254</v>
      </c>
      <c r="C67" s="224" t="n">
        <v>500</v>
      </c>
      <c r="D67" s="196"/>
      <c r="E67" s="196"/>
      <c r="F67" s="196" t="s">
        <v>1270</v>
      </c>
      <c r="G67" s="196" t="s">
        <v>8255</v>
      </c>
      <c r="H67" s="28" t="s">
        <v>7937</v>
      </c>
      <c r="I67" s="28" t="s">
        <v>8208</v>
      </c>
      <c r="J67" s="6" t="s">
        <v>8256</v>
      </c>
      <c r="K67" s="196" t="n">
        <v>2</v>
      </c>
      <c r="L67" s="196" t="s">
        <v>6461</v>
      </c>
      <c r="M67" s="6" t="s">
        <v>8200</v>
      </c>
      <c r="N67" s="196" t="s">
        <v>6474</v>
      </c>
      <c r="O67" s="28" t="s">
        <v>6464</v>
      </c>
      <c r="P67" s="28" t="s">
        <v>608</v>
      </c>
      <c r="Q67" s="28" t="s">
        <v>8257</v>
      </c>
      <c r="R67" s="28" t="s">
        <v>608</v>
      </c>
      <c r="S67" s="28" t="s">
        <v>608</v>
      </c>
      <c r="T67" s="28" t="s">
        <v>608</v>
      </c>
      <c r="U67" s="28" t="s">
        <v>8145</v>
      </c>
      <c r="V67" s="226" t="s">
        <v>8258</v>
      </c>
      <c r="W67" s="6" t="s">
        <v>8259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8260</v>
      </c>
      <c r="B68" s="6" t="s">
        <v>8254</v>
      </c>
      <c r="C68" s="224" t="n">
        <v>700</v>
      </c>
      <c r="D68" s="196"/>
      <c r="E68" s="196"/>
      <c r="F68" s="196" t="s">
        <v>1270</v>
      </c>
      <c r="G68" s="196" t="s">
        <v>8261</v>
      </c>
      <c r="H68" s="28" t="s">
        <v>7937</v>
      </c>
      <c r="I68" s="28" t="s">
        <v>8208</v>
      </c>
      <c r="J68" s="6" t="s">
        <v>8262</v>
      </c>
      <c r="K68" s="196" t="n">
        <v>2</v>
      </c>
      <c r="L68" s="196" t="s">
        <v>6461</v>
      </c>
      <c r="M68" s="6" t="s">
        <v>8200</v>
      </c>
      <c r="N68" s="196" t="s">
        <v>6474</v>
      </c>
      <c r="O68" s="28" t="s">
        <v>6464</v>
      </c>
      <c r="P68" s="28" t="s">
        <v>608</v>
      </c>
      <c r="Q68" s="28" t="s">
        <v>8257</v>
      </c>
      <c r="R68" s="28" t="s">
        <v>608</v>
      </c>
      <c r="S68" s="28" t="s">
        <v>608</v>
      </c>
      <c r="T68" s="28" t="s">
        <v>608</v>
      </c>
      <c r="U68" s="28" t="s">
        <v>8145</v>
      </c>
      <c r="V68" s="226" t="s">
        <v>8258</v>
      </c>
      <c r="W68" s="6" t="s">
        <v>8263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8264</v>
      </c>
      <c r="B69" s="6" t="s">
        <v>8254</v>
      </c>
      <c r="C69" s="224" t="n">
        <v>800</v>
      </c>
      <c r="D69" s="196"/>
      <c r="E69" s="196"/>
      <c r="F69" s="196" t="s">
        <v>1270</v>
      </c>
      <c r="G69" s="196" t="s">
        <v>8265</v>
      </c>
      <c r="H69" s="28" t="s">
        <v>7937</v>
      </c>
      <c r="I69" s="28" t="s">
        <v>7873</v>
      </c>
      <c r="J69" s="6" t="s">
        <v>8266</v>
      </c>
      <c r="K69" s="196" t="n">
        <v>2</v>
      </c>
      <c r="L69" s="196" t="s">
        <v>6461</v>
      </c>
      <c r="M69" s="6" t="s">
        <v>8200</v>
      </c>
      <c r="N69" s="196" t="s">
        <v>6474</v>
      </c>
      <c r="O69" s="28" t="s">
        <v>6464</v>
      </c>
      <c r="P69" s="28" t="s">
        <v>608</v>
      </c>
      <c r="Q69" s="28" t="s">
        <v>8257</v>
      </c>
      <c r="R69" s="28" t="s">
        <v>608</v>
      </c>
      <c r="S69" s="28" t="s">
        <v>608</v>
      </c>
      <c r="T69" s="28" t="s">
        <v>608</v>
      </c>
      <c r="U69" s="28" t="s">
        <v>8145</v>
      </c>
      <c r="V69" s="226" t="s">
        <v>8258</v>
      </c>
      <c r="W69" s="6" t="s">
        <v>8267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1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8268</v>
      </c>
      <c r="B70" s="6" t="s">
        <v>8254</v>
      </c>
      <c r="C70" s="224" t="n">
        <v>900</v>
      </c>
      <c r="D70" s="196"/>
      <c r="E70" s="196"/>
      <c r="F70" s="196" t="s">
        <v>1270</v>
      </c>
      <c r="G70" s="196" t="s">
        <v>8269</v>
      </c>
      <c r="H70" s="28" t="s">
        <v>7937</v>
      </c>
      <c r="I70" s="28" t="s">
        <v>7938</v>
      </c>
      <c r="J70" s="6" t="s">
        <v>7939</v>
      </c>
      <c r="K70" s="196" t="n">
        <v>1</v>
      </c>
      <c r="L70" s="196" t="s">
        <v>6461</v>
      </c>
      <c r="M70" s="6" t="s">
        <v>7940</v>
      </c>
      <c r="N70" s="196" t="s">
        <v>6463</v>
      </c>
      <c r="O70" s="28" t="s">
        <v>6464</v>
      </c>
      <c r="P70" s="28" t="s">
        <v>608</v>
      </c>
      <c r="Q70" s="28" t="s">
        <v>8257</v>
      </c>
      <c r="R70" s="28" t="s">
        <v>608</v>
      </c>
      <c r="S70" s="28" t="s">
        <v>608</v>
      </c>
      <c r="T70" s="28" t="s">
        <v>608</v>
      </c>
      <c r="U70" s="28" t="s">
        <v>8145</v>
      </c>
      <c r="V70" s="226" t="s">
        <v>8258</v>
      </c>
      <c r="W70" s="6" t="s">
        <v>8270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1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8271</v>
      </c>
      <c r="B71" s="6" t="s">
        <v>8254</v>
      </c>
      <c r="C71" s="224" t="n">
        <v>1000</v>
      </c>
      <c r="D71" s="196"/>
      <c r="E71" s="196"/>
      <c r="F71" s="196" t="s">
        <v>1270</v>
      </c>
      <c r="G71" s="196" t="s">
        <v>8272</v>
      </c>
      <c r="H71" s="28" t="s">
        <v>7937</v>
      </c>
      <c r="I71" s="28" t="s">
        <v>8273</v>
      </c>
      <c r="J71" s="6" t="s">
        <v>8274</v>
      </c>
      <c r="K71" s="196" t="n">
        <v>2</v>
      </c>
      <c r="L71" s="196" t="s">
        <v>6461</v>
      </c>
      <c r="M71" s="6" t="s">
        <v>8200</v>
      </c>
      <c r="N71" s="196" t="s">
        <v>6474</v>
      </c>
      <c r="O71" s="28" t="s">
        <v>6464</v>
      </c>
      <c r="P71" s="28" t="s">
        <v>608</v>
      </c>
      <c r="Q71" s="28" t="s">
        <v>8257</v>
      </c>
      <c r="R71" s="28" t="s">
        <v>608</v>
      </c>
      <c r="S71" s="28" t="s">
        <v>608</v>
      </c>
      <c r="T71" s="28" t="s">
        <v>608</v>
      </c>
      <c r="U71" s="28" t="s">
        <v>8145</v>
      </c>
      <c r="V71" s="226" t="s">
        <v>8258</v>
      </c>
      <c r="W71" s="6" t="s">
        <v>8275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1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8276</v>
      </c>
      <c r="B72" s="6" t="s">
        <v>8254</v>
      </c>
      <c r="C72" s="224" t="n">
        <v>1200</v>
      </c>
      <c r="D72" s="196"/>
      <c r="E72" s="196"/>
      <c r="F72" s="196" t="s">
        <v>1270</v>
      </c>
      <c r="G72" s="196" t="s">
        <v>8277</v>
      </c>
      <c r="H72" s="28" t="s">
        <v>7937</v>
      </c>
      <c r="I72" s="28" t="s">
        <v>6062</v>
      </c>
      <c r="J72" s="6" t="s">
        <v>8278</v>
      </c>
      <c r="K72" s="196" t="n">
        <v>1</v>
      </c>
      <c r="L72" s="196" t="s">
        <v>6461</v>
      </c>
      <c r="M72" s="6" t="s">
        <v>7940</v>
      </c>
      <c r="N72" s="196" t="s">
        <v>6463</v>
      </c>
      <c r="O72" s="28" t="s">
        <v>6464</v>
      </c>
      <c r="P72" s="28" t="s">
        <v>608</v>
      </c>
      <c r="Q72" s="28" t="s">
        <v>8257</v>
      </c>
      <c r="R72" s="28" t="s">
        <v>608</v>
      </c>
      <c r="S72" s="28" t="s">
        <v>608</v>
      </c>
      <c r="T72" s="28" t="s">
        <v>608</v>
      </c>
      <c r="U72" s="28" t="s">
        <v>8145</v>
      </c>
      <c r="V72" s="226" t="s">
        <v>8258</v>
      </c>
      <c r="W72" s="6" t="s">
        <v>8279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1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8280</v>
      </c>
      <c r="B73" s="6" t="s">
        <v>8080</v>
      </c>
      <c r="C73" s="224" t="n">
        <v>5.7</v>
      </c>
      <c r="D73" s="196"/>
      <c r="E73" s="196"/>
      <c r="F73" s="28" t="s">
        <v>867</v>
      </c>
      <c r="G73" s="28" t="s">
        <v>8281</v>
      </c>
      <c r="H73" s="28" t="s">
        <v>1199</v>
      </c>
      <c r="I73" s="28" t="s">
        <v>7218</v>
      </c>
      <c r="J73" s="6" t="s">
        <v>8282</v>
      </c>
      <c r="K73" s="196" t="n">
        <v>2</v>
      </c>
      <c r="L73" s="196" t="s">
        <v>6461</v>
      </c>
      <c r="M73" s="6" t="s">
        <v>8200</v>
      </c>
      <c r="N73" s="196" t="s">
        <v>6474</v>
      </c>
      <c r="O73" s="28" t="s">
        <v>6464</v>
      </c>
      <c r="P73" s="28" t="s">
        <v>608</v>
      </c>
      <c r="Q73" s="28" t="s">
        <v>8283</v>
      </c>
      <c r="R73" s="28" t="s">
        <v>608</v>
      </c>
      <c r="S73" s="28" t="s">
        <v>608</v>
      </c>
      <c r="T73" s="28" t="s">
        <v>608</v>
      </c>
      <c r="U73" s="28" t="s">
        <v>8284</v>
      </c>
      <c r="V73" s="6" t="s">
        <v>8285</v>
      </c>
      <c r="W73" s="6" t="s">
        <v>8286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1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8287</v>
      </c>
      <c r="B74" s="6" t="s">
        <v>8288</v>
      </c>
      <c r="C74" s="224" t="n">
        <v>14.1</v>
      </c>
      <c r="D74" s="224" t="n">
        <v>12</v>
      </c>
      <c r="E74" s="224" t="n">
        <v>18</v>
      </c>
      <c r="F74" s="28" t="s">
        <v>867</v>
      </c>
      <c r="G74" s="28" t="s">
        <v>8289</v>
      </c>
      <c r="H74" s="28" t="s">
        <v>1199</v>
      </c>
      <c r="I74" s="28" t="s">
        <v>6471</v>
      </c>
      <c r="J74" s="6" t="s">
        <v>8290</v>
      </c>
      <c r="K74" s="196" t="n">
        <v>3</v>
      </c>
      <c r="L74" s="196" t="s">
        <v>6461</v>
      </c>
      <c r="M74" s="6" t="s">
        <v>8291</v>
      </c>
      <c r="N74" s="196" t="s">
        <v>6474</v>
      </c>
      <c r="O74" s="28" t="s">
        <v>6510</v>
      </c>
      <c r="P74" s="28" t="s">
        <v>608</v>
      </c>
      <c r="Q74" s="28" t="s">
        <v>8292</v>
      </c>
      <c r="R74" s="28" t="s">
        <v>608</v>
      </c>
      <c r="S74" s="28" t="s">
        <v>608</v>
      </c>
      <c r="T74" s="28" t="s">
        <v>608</v>
      </c>
      <c r="U74" s="28" t="s">
        <v>8284</v>
      </c>
      <c r="V74" s="6" t="s">
        <v>8293</v>
      </c>
      <c r="W74" s="6" t="s">
        <v>8294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1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5572</v>
      </c>
      <c r="B75" s="6" t="s">
        <v>8295</v>
      </c>
      <c r="C75" s="224" t="n">
        <v>0.2</v>
      </c>
      <c r="D75" s="224" t="n">
        <v>0.15</v>
      </c>
      <c r="E75" s="224" t="n">
        <v>0.2</v>
      </c>
      <c r="F75" s="28" t="s">
        <v>93</v>
      </c>
      <c r="G75" s="28" t="s">
        <v>8296</v>
      </c>
      <c r="H75" s="28" t="s">
        <v>1199</v>
      </c>
      <c r="I75" s="28" t="s">
        <v>6471</v>
      </c>
      <c r="J75" s="6" t="s">
        <v>8297</v>
      </c>
      <c r="K75" s="196" t="n">
        <v>3</v>
      </c>
      <c r="L75" s="196" t="s">
        <v>6461</v>
      </c>
      <c r="M75" s="6" t="s">
        <v>8298</v>
      </c>
      <c r="N75" s="196" t="s">
        <v>6474</v>
      </c>
      <c r="O75" s="28" t="s">
        <v>6464</v>
      </c>
      <c r="P75" s="28" t="s">
        <v>608</v>
      </c>
      <c r="Q75" s="28" t="s">
        <v>8299</v>
      </c>
      <c r="R75" s="28" t="s">
        <v>608</v>
      </c>
      <c r="S75" s="28" t="s">
        <v>608</v>
      </c>
      <c r="T75" s="28" t="s">
        <v>608</v>
      </c>
      <c r="U75" s="28" t="s">
        <v>8284</v>
      </c>
      <c r="V75" s="6" t="s">
        <v>8300</v>
      </c>
      <c r="W75" s="6" t="s">
        <v>8301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1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5693</v>
      </c>
      <c r="B76" s="6" t="s">
        <v>8302</v>
      </c>
      <c r="C76" s="224" t="n">
        <v>1</v>
      </c>
      <c r="D76" s="196"/>
      <c r="E76" s="196"/>
      <c r="F76" s="28" t="s">
        <v>867</v>
      </c>
      <c r="G76" s="196" t="s">
        <v>8303</v>
      </c>
      <c r="H76" s="28" t="s">
        <v>1199</v>
      </c>
      <c r="I76" s="28" t="s">
        <v>8304</v>
      </c>
      <c r="J76" s="6" t="s">
        <v>8305</v>
      </c>
      <c r="K76" s="196" t="n">
        <v>2</v>
      </c>
      <c r="L76" s="196" t="s">
        <v>6461</v>
      </c>
      <c r="M76" s="6" t="s">
        <v>8200</v>
      </c>
      <c r="N76" s="196" t="s">
        <v>6474</v>
      </c>
      <c r="O76" s="28" t="s">
        <v>6464</v>
      </c>
      <c r="P76" s="28" t="s">
        <v>608</v>
      </c>
      <c r="Q76" s="28" t="s">
        <v>8306</v>
      </c>
      <c r="R76" s="28" t="s">
        <v>608</v>
      </c>
      <c r="S76" s="28" t="s">
        <v>608</v>
      </c>
      <c r="T76" s="28" t="s">
        <v>608</v>
      </c>
      <c r="U76" s="28" t="s">
        <v>8307</v>
      </c>
      <c r="V76" s="6" t="s">
        <v>8308</v>
      </c>
      <c r="W76" s="6" t="s">
        <v>8309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1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8310</v>
      </c>
      <c r="B77" s="6" t="s">
        <v>8311</v>
      </c>
      <c r="C77" s="224" t="n">
        <v>7.5</v>
      </c>
      <c r="D77" s="196"/>
      <c r="E77" s="196"/>
      <c r="F77" s="28" t="s">
        <v>867</v>
      </c>
      <c r="G77" s="196" t="s">
        <v>8312</v>
      </c>
      <c r="H77" s="28" t="s">
        <v>1199</v>
      </c>
      <c r="I77" s="28" t="s">
        <v>8313</v>
      </c>
      <c r="J77" s="6" t="s">
        <v>8314</v>
      </c>
      <c r="K77" s="196" t="n">
        <v>2</v>
      </c>
      <c r="L77" s="196" t="s">
        <v>6568</v>
      </c>
      <c r="M77" s="226" t="s">
        <v>8315</v>
      </c>
      <c r="N77" s="196" t="s">
        <v>8316</v>
      </c>
      <c r="O77" s="28" t="s">
        <v>6464</v>
      </c>
      <c r="P77" s="28" t="s">
        <v>608</v>
      </c>
      <c r="Q77" s="28" t="s">
        <v>8317</v>
      </c>
      <c r="R77" s="28" t="s">
        <v>608</v>
      </c>
      <c r="S77" s="28" t="s">
        <v>608</v>
      </c>
      <c r="T77" s="28" t="s">
        <v>608</v>
      </c>
      <c r="U77" s="28" t="s">
        <v>8318</v>
      </c>
      <c r="V77" s="6" t="s">
        <v>8319</v>
      </c>
      <c r="W77" s="6" t="s">
        <v>8320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1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5" t="s">
        <v>8321</v>
      </c>
    </row>
    <row r="2" customFormat="false" ht="15" hidden="false" customHeight="false" outlineLevel="0" collapsed="false">
      <c r="A2" s="56" t="s">
        <v>8322</v>
      </c>
    </row>
    <row r="4" customFormat="false" ht="15" hidden="false" customHeight="false" outlineLevel="0" collapsed="false">
      <c r="A4" s="10" t="s">
        <v>6437</v>
      </c>
      <c r="B4" s="57" t="s">
        <v>12</v>
      </c>
      <c r="C4" s="57" t="s">
        <v>8323</v>
      </c>
      <c r="D4" s="57" t="s">
        <v>595</v>
      </c>
      <c r="E4" s="57" t="s">
        <v>3669</v>
      </c>
      <c r="F4" s="57" t="s">
        <v>8324</v>
      </c>
    </row>
    <row r="5" customFormat="false" ht="15" hidden="false" customHeight="false" outlineLevel="0" collapsed="false">
      <c r="A5" s="90" t="str">
        <f aca="false">SRC_HW!$A5&amp;""</f>
        <v>SRC_HW_001</v>
      </c>
      <c r="B5" s="59" t="s">
        <v>8325</v>
      </c>
      <c r="C5" s="58" t="n">
        <v>5</v>
      </c>
      <c r="D5" s="90" t="str">
        <f aca="false">SRC_HW!$O5</f>
        <v>Active</v>
      </c>
      <c r="E5" s="90" t="n">
        <f aca="false">SRC_HW!$K5</f>
        <v>1</v>
      </c>
      <c r="F5" s="90" t="str">
        <f aca="false">SRC_HW!$S5</f>
        <v>2026-10-05</v>
      </c>
    </row>
    <row r="6" customFormat="false" ht="15" hidden="false" customHeight="false" outlineLevel="0" collapsed="false">
      <c r="A6" s="90" t="str">
        <f aca="false">SRC_HW!$A6&amp;""</f>
        <v>SRC_HW_002</v>
      </c>
      <c r="B6" s="59" t="s">
        <v>8325</v>
      </c>
      <c r="C6" s="58" t="n">
        <v>6</v>
      </c>
      <c r="D6" s="90" t="str">
        <f aca="false">SRC_HW!$O6</f>
        <v>Active</v>
      </c>
      <c r="E6" s="90" t="n">
        <f aca="false">SRC_HW!$K6</f>
        <v>3</v>
      </c>
      <c r="F6" s="90" t="str">
        <f aca="false">SRC_HW!$S6</f>
        <v>—</v>
      </c>
    </row>
    <row r="7" customFormat="false" ht="15" hidden="false" customHeight="false" outlineLevel="0" collapsed="false">
      <c r="A7" s="90" t="str">
        <f aca="false">SRC_HW!$A7&amp;""</f>
        <v>SRC_HW_003</v>
      </c>
      <c r="B7" s="59" t="s">
        <v>8325</v>
      </c>
      <c r="C7" s="58" t="n">
        <v>7</v>
      </c>
      <c r="D7" s="90" t="str">
        <f aca="false">SRC_HW!$O7</f>
        <v>Active</v>
      </c>
      <c r="E7" s="90" t="n">
        <f aca="false">SRC_HW!$K7</f>
        <v>2</v>
      </c>
      <c r="F7" s="90" t="str">
        <f aca="false">SRC_HW!$S7</f>
        <v>2026-10-05</v>
      </c>
    </row>
    <row r="8" customFormat="false" ht="15" hidden="false" customHeight="false" outlineLevel="0" collapsed="false">
      <c r="A8" s="90" t="str">
        <f aca="false">SRC_HW!$A8&amp;""</f>
        <v>SRC_HW_004</v>
      </c>
      <c r="B8" s="59" t="s">
        <v>8325</v>
      </c>
      <c r="C8" s="58" t="n">
        <v>8</v>
      </c>
      <c r="D8" s="90" t="str">
        <f aca="false">SRC_HW!$O8</f>
        <v>Active</v>
      </c>
      <c r="E8" s="90" t="n">
        <f aca="false">SRC_HW!$K8</f>
        <v>1</v>
      </c>
      <c r="F8" s="90" t="str">
        <f aca="false">SRC_HW!$S8</f>
        <v>2026-10-05</v>
      </c>
    </row>
    <row r="9" customFormat="false" ht="15" hidden="false" customHeight="false" outlineLevel="0" collapsed="false">
      <c r="A9" s="90" t="str">
        <f aca="false">SRC_HW!$A9&amp;""</f>
        <v>SRC_HW_005</v>
      </c>
      <c r="B9" s="59" t="s">
        <v>8325</v>
      </c>
      <c r="C9" s="58" t="n">
        <v>9</v>
      </c>
      <c r="D9" s="90" t="str">
        <f aca="false">SRC_HW!$O9</f>
        <v>Active</v>
      </c>
      <c r="E9" s="90" t="n">
        <f aca="false">SRC_HW!$K9</f>
        <v>2</v>
      </c>
      <c r="F9" s="90" t="str">
        <f aca="false">SRC_HW!$S9</f>
        <v>2026-10-05</v>
      </c>
    </row>
    <row r="10" customFormat="false" ht="15" hidden="false" customHeight="false" outlineLevel="0" collapsed="false">
      <c r="A10" s="90" t="str">
        <f aca="false">SRC_HW!$A10&amp;""</f>
        <v>SRC_HW_006</v>
      </c>
      <c r="B10" s="59" t="s">
        <v>8325</v>
      </c>
      <c r="C10" s="58" t="n">
        <v>10</v>
      </c>
      <c r="D10" s="90" t="str">
        <f aca="false">SRC_HW!$O10</f>
        <v>Active</v>
      </c>
      <c r="E10" s="90" t="n">
        <f aca="false">SRC_HW!$K10</f>
        <v>2</v>
      </c>
      <c r="F10" s="90" t="str">
        <f aca="false">SRC_HW!$S10</f>
        <v>2026-10-05</v>
      </c>
    </row>
    <row r="11" customFormat="false" ht="15" hidden="false" customHeight="false" outlineLevel="0" collapsed="false">
      <c r="A11" s="90" t="str">
        <f aca="false">SRC_HW!$A11&amp;""</f>
        <v>SRC_HW_007</v>
      </c>
      <c r="B11" s="59" t="s">
        <v>8325</v>
      </c>
      <c r="C11" s="58" t="n">
        <v>11</v>
      </c>
      <c r="D11" s="90" t="str">
        <f aca="false">SRC_HW!$O11</f>
        <v>Alt</v>
      </c>
      <c r="E11" s="90" t="n">
        <f aca="false">SRC_HW!$K11</f>
        <v>3</v>
      </c>
      <c r="F11" s="90" t="str">
        <f aca="false">SRC_HW!$S11</f>
        <v>—</v>
      </c>
    </row>
    <row r="12" customFormat="false" ht="15" hidden="false" customHeight="false" outlineLevel="0" collapsed="false">
      <c r="A12" s="90" t="str">
        <f aca="false">SRC_HW!$A12&amp;""</f>
        <v>SRC_HW_008</v>
      </c>
      <c r="B12" s="59" t="s">
        <v>8325</v>
      </c>
      <c r="C12" s="58" t="n">
        <v>12</v>
      </c>
      <c r="D12" s="90" t="str">
        <f aca="false">SRC_HW!$O12</f>
        <v>Alt</v>
      </c>
      <c r="E12" s="90" t="n">
        <f aca="false">SRC_HW!$K12</f>
        <v>3</v>
      </c>
      <c r="F12" s="90" t="str">
        <f aca="false">SRC_HW!$S12</f>
        <v>—</v>
      </c>
    </row>
    <row r="13" customFormat="false" ht="15" hidden="false" customHeight="false" outlineLevel="0" collapsed="false">
      <c r="A13" s="90" t="str">
        <f aca="false">SRC_HW!$A13&amp;""</f>
        <v>SRC_HW_009</v>
      </c>
      <c r="B13" s="59" t="s">
        <v>8325</v>
      </c>
      <c r="C13" s="58" t="n">
        <v>13</v>
      </c>
      <c r="D13" s="90" t="str">
        <f aca="false">SRC_HW!$O13</f>
        <v>Active</v>
      </c>
      <c r="E13" s="90" t="n">
        <f aca="false">SRC_HW!$K13</f>
        <v>3</v>
      </c>
      <c r="F13" s="90" t="str">
        <f aca="false">SRC_HW!$S13</f>
        <v>—</v>
      </c>
    </row>
    <row r="14" customFormat="false" ht="15" hidden="false" customHeight="false" outlineLevel="0" collapsed="false">
      <c r="A14" s="90" t="str">
        <f aca="false">SRC_HW!$A14&amp;""</f>
        <v>SRC_HW_010</v>
      </c>
      <c r="B14" s="59" t="s">
        <v>8325</v>
      </c>
      <c r="C14" s="58" t="n">
        <v>14</v>
      </c>
      <c r="D14" s="90" t="str">
        <f aca="false">SRC_HW!$O14</f>
        <v>Active</v>
      </c>
      <c r="E14" s="90" t="n">
        <f aca="false">SRC_HW!$K14</f>
        <v>2</v>
      </c>
      <c r="F14" s="90" t="str">
        <f aca="false">SRC_HW!$S14</f>
        <v>2026-10-08</v>
      </c>
    </row>
    <row r="15" customFormat="false" ht="15" hidden="false" customHeight="false" outlineLevel="0" collapsed="false">
      <c r="A15" s="90" t="str">
        <f aca="false">SRC_HW!$A15&amp;""</f>
        <v>SRC_HW_011</v>
      </c>
      <c r="B15" s="59" t="s">
        <v>8325</v>
      </c>
      <c r="C15" s="58" t="n">
        <v>15</v>
      </c>
      <c r="D15" s="90" t="str">
        <f aca="false">SRC_HW!$O15</f>
        <v>Active</v>
      </c>
      <c r="E15" s="90" t="n">
        <f aca="false">SRC_HW!$K15</f>
        <v>1</v>
      </c>
      <c r="F15" s="90" t="str">
        <f aca="false">SRC_HW!$S15</f>
        <v>2026-10-05</v>
      </c>
    </row>
    <row r="16" customFormat="false" ht="15" hidden="false" customHeight="false" outlineLevel="0" collapsed="false">
      <c r="A16" s="90" t="str">
        <f aca="false">SRC_HW!$A16&amp;""</f>
        <v>SRC_HW_012</v>
      </c>
      <c r="B16" s="59" t="s">
        <v>8325</v>
      </c>
      <c r="C16" s="58" t="n">
        <v>16</v>
      </c>
      <c r="D16" s="90" t="str">
        <f aca="false">SRC_HW!$O16</f>
        <v>Active</v>
      </c>
      <c r="E16" s="90" t="n">
        <f aca="false">SRC_HW!$K16</f>
        <v>3</v>
      </c>
      <c r="F16" s="90" t="str">
        <f aca="false">SRC_HW!$S16</f>
        <v>—</v>
      </c>
    </row>
    <row r="17" customFormat="false" ht="15" hidden="false" customHeight="false" outlineLevel="0" collapsed="false">
      <c r="A17" s="90" t="str">
        <f aca="false">SRC_HW!$A17&amp;""</f>
        <v>SRC_HW_013</v>
      </c>
      <c r="B17" s="59" t="s">
        <v>8325</v>
      </c>
      <c r="C17" s="58" t="n">
        <v>17</v>
      </c>
      <c r="D17" s="90" t="str">
        <f aca="false">SRC_HW!$O17</f>
        <v>Superseded</v>
      </c>
      <c r="E17" s="90" t="n">
        <f aca="false">SRC_HW!$K17</f>
        <v>3</v>
      </c>
      <c r="F17" s="90" t="str">
        <f aca="false">SRC_HW!$S17</f>
        <v>—</v>
      </c>
    </row>
    <row r="18" customFormat="false" ht="15" hidden="false" customHeight="false" outlineLevel="0" collapsed="false">
      <c r="A18" s="90" t="str">
        <f aca="false">SRC_HW!$A18&amp;""</f>
        <v>SRC_HW_014</v>
      </c>
      <c r="B18" s="59" t="s">
        <v>8325</v>
      </c>
      <c r="C18" s="58" t="n">
        <v>18</v>
      </c>
      <c r="D18" s="90" t="str">
        <f aca="false">SRC_HW!$O18</f>
        <v>Active</v>
      </c>
      <c r="E18" s="90" t="n">
        <f aca="false">SRC_HW!$K18</f>
        <v>1</v>
      </c>
      <c r="F18" s="90" t="str">
        <f aca="false">SRC_HW!$S18</f>
        <v>2026-10-05</v>
      </c>
    </row>
    <row r="19" customFormat="false" ht="15" hidden="false" customHeight="false" outlineLevel="0" collapsed="false">
      <c r="A19" s="90" t="str">
        <f aca="false">SRC_HW!$A19&amp;""</f>
        <v>SRC_HW_015</v>
      </c>
      <c r="B19" s="59" t="s">
        <v>8325</v>
      </c>
      <c r="C19" s="58" t="n">
        <v>19</v>
      </c>
      <c r="D19" s="90" t="str">
        <f aca="false">SRC_HW!$O19</f>
        <v>Active</v>
      </c>
      <c r="E19" s="90" t="n">
        <f aca="false">SRC_HW!$K19</f>
        <v>2</v>
      </c>
      <c r="F19" s="90" t="str">
        <f aca="false">SRC_HW!$S19</f>
        <v>2026-10-05</v>
      </c>
    </row>
    <row r="20" customFormat="false" ht="15" hidden="false" customHeight="false" outlineLevel="0" collapsed="false">
      <c r="A20" s="90" t="str">
        <f aca="false">SRC_HW!$A20&amp;""</f>
        <v>SRC_HW_016</v>
      </c>
      <c r="B20" s="59" t="s">
        <v>8325</v>
      </c>
      <c r="C20" s="58" t="n">
        <v>20</v>
      </c>
      <c r="D20" s="90" t="str">
        <f aca="false">SRC_HW!$O20</f>
        <v>Alt</v>
      </c>
      <c r="E20" s="90" t="n">
        <f aca="false">SRC_HW!$K20</f>
        <v>3</v>
      </c>
      <c r="F20" s="90" t="str">
        <f aca="false">SRC_HW!$S20</f>
        <v>—</v>
      </c>
    </row>
    <row r="21" customFormat="false" ht="15" hidden="false" customHeight="false" outlineLevel="0" collapsed="false">
      <c r="A21" s="90" t="str">
        <f aca="false">SRC_HW!$A21&amp;""</f>
        <v>SRC_HW_017</v>
      </c>
      <c r="B21" s="59" t="s">
        <v>8325</v>
      </c>
      <c r="C21" s="58" t="n">
        <v>21</v>
      </c>
      <c r="D21" s="90" t="str">
        <f aca="false">SRC_HW!$O21</f>
        <v>Alt</v>
      </c>
      <c r="E21" s="90" t="n">
        <f aca="false">SRC_HW!$K21</f>
        <v>2</v>
      </c>
      <c r="F21" s="90" t="str">
        <f aca="false">SRC_HW!$S21</f>
        <v>2026-10-08</v>
      </c>
    </row>
    <row r="22" customFormat="false" ht="15" hidden="false" customHeight="false" outlineLevel="0" collapsed="false">
      <c r="A22" s="90" t="str">
        <f aca="false">SRC_HW!$A22&amp;""</f>
        <v>SRC_HW_018</v>
      </c>
      <c r="B22" s="59" t="s">
        <v>8325</v>
      </c>
      <c r="C22" s="58" t="n">
        <v>22</v>
      </c>
      <c r="D22" s="90" t="str">
        <f aca="false">SRC_HW!$O22</f>
        <v>Alt</v>
      </c>
      <c r="E22" s="90" t="n">
        <f aca="false">SRC_HW!$K22</f>
        <v>3</v>
      </c>
      <c r="F22" s="90" t="str">
        <f aca="false">SRC_HW!$S22</f>
        <v>—</v>
      </c>
    </row>
    <row r="23" customFormat="false" ht="15" hidden="false" customHeight="false" outlineLevel="0" collapsed="false">
      <c r="A23" s="90" t="str">
        <f aca="false">SRC_HW!$A23&amp;""</f>
        <v>SRC_HW_019</v>
      </c>
      <c r="B23" s="59" t="s">
        <v>8325</v>
      </c>
      <c r="C23" s="58" t="n">
        <v>23</v>
      </c>
      <c r="D23" s="90" t="str">
        <f aca="false">SRC_HW!$O23</f>
        <v>Active</v>
      </c>
      <c r="E23" s="90" t="n">
        <f aca="false">SRC_HW!$K23</f>
        <v>3</v>
      </c>
      <c r="F23" s="90" t="str">
        <f aca="false">SRC_HW!$S23</f>
        <v>—</v>
      </c>
    </row>
    <row r="24" customFormat="false" ht="15" hidden="false" customHeight="false" outlineLevel="0" collapsed="false">
      <c r="A24" s="90" t="str">
        <f aca="false">SRC_HW!$A24&amp;""</f>
        <v>SRC_HW_020</v>
      </c>
      <c r="B24" s="59" t="s">
        <v>8325</v>
      </c>
      <c r="C24" s="58" t="n">
        <v>24</v>
      </c>
      <c r="D24" s="90" t="str">
        <f aca="false">SRC_HW!$O24</f>
        <v>Active</v>
      </c>
      <c r="E24" s="90" t="n">
        <f aca="false">SRC_HW!$K24</f>
        <v>3</v>
      </c>
      <c r="F24" s="90" t="str">
        <f aca="false">SRC_HW!$S24</f>
        <v>—</v>
      </c>
    </row>
    <row r="25" customFormat="false" ht="15" hidden="false" customHeight="false" outlineLevel="0" collapsed="false">
      <c r="A25" s="90" t="str">
        <f aca="false">SRC_HW!$A25&amp;""</f>
        <v>SRC_HW_021</v>
      </c>
      <c r="B25" s="59" t="s">
        <v>8325</v>
      </c>
      <c r="C25" s="58" t="n">
        <v>25</v>
      </c>
      <c r="D25" s="90" t="str">
        <f aca="false">SRC_HW!$O25</f>
        <v>Active</v>
      </c>
      <c r="E25" s="90" t="n">
        <f aca="false">SRC_HW!$K25</f>
        <v>3</v>
      </c>
      <c r="F25" s="90" t="str">
        <f aca="false">SRC_HW!$S25</f>
        <v>—</v>
      </c>
    </row>
    <row r="26" customFormat="false" ht="15" hidden="false" customHeight="false" outlineLevel="0" collapsed="false">
      <c r="A26" s="90" t="str">
        <f aca="false">SRC_HW!$A26&amp;""</f>
        <v>SRC_HW_022</v>
      </c>
      <c r="B26" s="59" t="s">
        <v>8325</v>
      </c>
      <c r="C26" s="58" t="n">
        <v>26</v>
      </c>
      <c r="D26" s="90" t="str">
        <f aca="false">SRC_HW!$O26</f>
        <v>Active</v>
      </c>
      <c r="E26" s="90" t="n">
        <f aca="false">SRC_HW!$K26</f>
        <v>1</v>
      </c>
      <c r="F26" s="90" t="str">
        <f aca="false">SRC_HW!$S26</f>
        <v>2026-10-05</v>
      </c>
    </row>
    <row r="27" customFormat="false" ht="15" hidden="false" customHeight="false" outlineLevel="0" collapsed="false">
      <c r="A27" s="90" t="str">
        <f aca="false">SRC_HW!$A27&amp;""</f>
        <v>SRC_HW_023</v>
      </c>
      <c r="B27" s="59" t="s">
        <v>8325</v>
      </c>
      <c r="C27" s="58" t="n">
        <v>27</v>
      </c>
      <c r="D27" s="90" t="str">
        <f aca="false">SRC_HW!$O27</f>
        <v>Active</v>
      </c>
      <c r="E27" s="90" t="n">
        <f aca="false">SRC_HW!$K27</f>
        <v>3</v>
      </c>
      <c r="F27" s="90" t="str">
        <f aca="false">SRC_HW!$S27</f>
        <v>—</v>
      </c>
    </row>
    <row r="28" customFormat="false" ht="15" hidden="false" customHeight="false" outlineLevel="0" collapsed="false">
      <c r="A28" s="90" t="str">
        <f aca="false">SRC_HW!$A28&amp;""</f>
        <v>SRC_HW_024</v>
      </c>
      <c r="B28" s="59" t="s">
        <v>8325</v>
      </c>
      <c r="C28" s="58" t="n">
        <v>28</v>
      </c>
      <c r="D28" s="90" t="str">
        <f aca="false">SRC_HW!$O28</f>
        <v>Alt</v>
      </c>
      <c r="E28" s="90" t="n">
        <f aca="false">SRC_HW!$K28</f>
        <v>3</v>
      </c>
      <c r="F28" s="90" t="str">
        <f aca="false">SRC_HW!$S28</f>
        <v>—</v>
      </c>
    </row>
    <row r="29" customFormat="false" ht="15" hidden="false" customHeight="false" outlineLevel="0" collapsed="false">
      <c r="A29" s="90" t="str">
        <f aca="false">SRC_HW!$A29&amp;""</f>
        <v>SRC_HW_025</v>
      </c>
      <c r="B29" s="59" t="s">
        <v>8325</v>
      </c>
      <c r="C29" s="58" t="n">
        <v>29</v>
      </c>
      <c r="D29" s="90" t="str">
        <f aca="false">SRC_HW!$O29</f>
        <v>Active</v>
      </c>
      <c r="E29" s="90" t="n">
        <f aca="false">SRC_HW!$K29</f>
        <v>1</v>
      </c>
      <c r="F29" s="90" t="str">
        <f aca="false">SRC_HW!$S29</f>
        <v>2026-10-05</v>
      </c>
    </row>
    <row r="30" customFormat="false" ht="15" hidden="false" customHeight="false" outlineLevel="0" collapsed="false">
      <c r="A30" s="90" t="str">
        <f aca="false">SRC_HW!$A30&amp;""</f>
        <v>SRC_HW_026</v>
      </c>
      <c r="B30" s="59" t="s">
        <v>8325</v>
      </c>
      <c r="C30" s="58" t="n">
        <v>30</v>
      </c>
      <c r="D30" s="90" t="str">
        <f aca="false">SRC_HW!$O30</f>
        <v>Active</v>
      </c>
      <c r="E30" s="90" t="n">
        <f aca="false">SRC_HW!$K30</f>
        <v>3</v>
      </c>
      <c r="F30" s="90" t="str">
        <f aca="false">SRC_HW!$S30</f>
        <v>—</v>
      </c>
    </row>
    <row r="31" customFormat="false" ht="15" hidden="false" customHeight="false" outlineLevel="0" collapsed="false">
      <c r="A31" s="90" t="str">
        <f aca="false">SRC_HW!$A31&amp;""</f>
        <v>SRC_HW_027</v>
      </c>
      <c r="B31" s="59" t="s">
        <v>8325</v>
      </c>
      <c r="C31" s="58" t="n">
        <v>31</v>
      </c>
      <c r="D31" s="90" t="str">
        <f aca="false">SRC_HW!$O31</f>
        <v>Active</v>
      </c>
      <c r="E31" s="90" t="n">
        <f aca="false">SRC_HW!$K31</f>
        <v>1</v>
      </c>
      <c r="F31" s="90" t="str">
        <f aca="false">SRC_HW!$S31</f>
        <v>2026-10-05</v>
      </c>
    </row>
    <row r="32" customFormat="false" ht="15" hidden="false" customHeight="false" outlineLevel="0" collapsed="false">
      <c r="A32" s="90" t="str">
        <f aca="false">SRC_HW!$A32&amp;""</f>
        <v>SRC_HW_028</v>
      </c>
      <c r="B32" s="59" t="s">
        <v>8325</v>
      </c>
      <c r="C32" s="58" t="n">
        <v>32</v>
      </c>
      <c r="D32" s="90" t="str">
        <f aca="false">SRC_HW!$O32</f>
        <v>Active</v>
      </c>
      <c r="E32" s="90" t="n">
        <f aca="false">SRC_HW!$K32</f>
        <v>1</v>
      </c>
      <c r="F32" s="90" t="str">
        <f aca="false">SRC_HW!$S32</f>
        <v>2026-10-05</v>
      </c>
    </row>
    <row r="33" customFormat="false" ht="15" hidden="false" customHeight="false" outlineLevel="0" collapsed="false">
      <c r="A33" s="90" t="str">
        <f aca="false">SRC_HW!$A33&amp;""</f>
        <v>SRC_HW_029</v>
      </c>
      <c r="B33" s="59" t="s">
        <v>8325</v>
      </c>
      <c r="C33" s="58" t="n">
        <v>33</v>
      </c>
      <c r="D33" s="90" t="str">
        <f aca="false">SRC_HW!$O33</f>
        <v>Active</v>
      </c>
      <c r="E33" s="90" t="n">
        <f aca="false">SRC_HW!$K33</f>
        <v>3</v>
      </c>
      <c r="F33" s="90" t="str">
        <f aca="false">SRC_HW!$S33</f>
        <v>—</v>
      </c>
    </row>
    <row r="34" customFormat="false" ht="15" hidden="false" customHeight="false" outlineLevel="0" collapsed="false">
      <c r="A34" s="90" t="str">
        <f aca="false">SRC_HW!$A34&amp;""</f>
        <v>SRC_HW_030</v>
      </c>
      <c r="B34" s="59" t="s">
        <v>8325</v>
      </c>
      <c r="C34" s="58" t="n">
        <v>34</v>
      </c>
      <c r="D34" s="90" t="str">
        <f aca="false">SRC_HW!$O34</f>
        <v>Active</v>
      </c>
      <c r="E34" s="90" t="n">
        <f aca="false">SRC_HW!$K34</f>
        <v>3</v>
      </c>
      <c r="F34" s="90" t="str">
        <f aca="false">SRC_HW!$S34</f>
        <v>—</v>
      </c>
    </row>
    <row r="35" customFormat="false" ht="15" hidden="false" customHeight="false" outlineLevel="0" collapsed="false">
      <c r="A35" s="90" t="str">
        <f aca="false">SRC_HW!$A35&amp;""</f>
        <v>SRC_HW_031</v>
      </c>
      <c r="B35" s="59" t="s">
        <v>8325</v>
      </c>
      <c r="C35" s="58" t="n">
        <v>35</v>
      </c>
      <c r="D35" s="90" t="str">
        <f aca="false">SRC_HW!$O35</f>
        <v>Active</v>
      </c>
      <c r="E35" s="90" t="n">
        <f aca="false">SRC_HW!$K35</f>
        <v>3</v>
      </c>
      <c r="F35" s="90" t="str">
        <f aca="false">SRC_HW!$S35</f>
        <v>—</v>
      </c>
    </row>
    <row r="36" customFormat="false" ht="15" hidden="false" customHeight="false" outlineLevel="0" collapsed="false">
      <c r="A36" s="90" t="str">
        <f aca="false">SRC_HW!$A36&amp;""</f>
        <v>SRC_HW_032</v>
      </c>
      <c r="B36" s="59" t="s">
        <v>8325</v>
      </c>
      <c r="C36" s="58" t="n">
        <v>36</v>
      </c>
      <c r="D36" s="90" t="str">
        <f aca="false">SRC_HW!$O36</f>
        <v>Active</v>
      </c>
      <c r="E36" s="90" t="n">
        <f aca="false">SRC_HW!$K36</f>
        <v>3</v>
      </c>
      <c r="F36" s="90" t="str">
        <f aca="false">SRC_HW!$S36</f>
        <v>—</v>
      </c>
    </row>
    <row r="37" customFormat="false" ht="15" hidden="false" customHeight="false" outlineLevel="0" collapsed="false">
      <c r="A37" s="90" t="str">
        <f aca="false">SRC_HW!$A37&amp;""</f>
        <v>SRC_HW_033</v>
      </c>
      <c r="B37" s="59" t="s">
        <v>8325</v>
      </c>
      <c r="C37" s="58" t="n">
        <v>37</v>
      </c>
      <c r="D37" s="90" t="str">
        <f aca="false">SRC_HW!$O37</f>
        <v>Active</v>
      </c>
      <c r="E37" s="90" t="n">
        <f aca="false">SRC_HW!$K37</f>
        <v>3</v>
      </c>
      <c r="F37" s="90" t="str">
        <f aca="false">SRC_HW!$S37</f>
        <v>—</v>
      </c>
    </row>
    <row r="38" customFormat="false" ht="15" hidden="false" customHeight="false" outlineLevel="0" collapsed="false">
      <c r="A38" s="90" t="str">
        <f aca="false">SRC_HW!$A38&amp;""</f>
        <v>SRC_HW_034</v>
      </c>
      <c r="B38" s="59" t="s">
        <v>8325</v>
      </c>
      <c r="C38" s="58" t="n">
        <v>38</v>
      </c>
      <c r="D38" s="90" t="str">
        <f aca="false">SRC_HW!$O38</f>
        <v>Active</v>
      </c>
      <c r="E38" s="90" t="n">
        <f aca="false">SRC_HW!$K38</f>
        <v>3</v>
      </c>
      <c r="F38" s="90" t="str">
        <f aca="false">SRC_HW!$S38</f>
        <v>—</v>
      </c>
    </row>
    <row r="39" customFormat="false" ht="15" hidden="false" customHeight="false" outlineLevel="0" collapsed="false">
      <c r="A39" s="90" t="str">
        <f aca="false">SRC_HW!$A39&amp;""</f>
        <v>SRC_HW_035</v>
      </c>
      <c r="B39" s="59" t="s">
        <v>8325</v>
      </c>
      <c r="C39" s="58" t="n">
        <v>39</v>
      </c>
      <c r="D39" s="90" t="str">
        <f aca="false">SRC_HW!$O39</f>
        <v>Active</v>
      </c>
      <c r="E39" s="90" t="n">
        <f aca="false">SRC_HW!$K39</f>
        <v>3</v>
      </c>
      <c r="F39" s="90" t="str">
        <f aca="false">SRC_HW!$S39</f>
        <v>—</v>
      </c>
    </row>
    <row r="40" customFormat="false" ht="15" hidden="false" customHeight="false" outlineLevel="0" collapsed="false">
      <c r="A40" s="90" t="str">
        <f aca="false">SRC_HW!$A40&amp;""</f>
        <v>SRC_HW_036</v>
      </c>
      <c r="B40" s="59" t="s">
        <v>8325</v>
      </c>
      <c r="C40" s="58" t="n">
        <v>40</v>
      </c>
      <c r="D40" s="90" t="str">
        <f aca="false">SRC_HW!$O40</f>
        <v>Active</v>
      </c>
      <c r="E40" s="90" t="n">
        <f aca="false">SRC_HW!$K40</f>
        <v>2</v>
      </c>
      <c r="F40" s="90" t="str">
        <f aca="false">SRC_HW!$S40</f>
        <v>—</v>
      </c>
    </row>
    <row r="41" customFormat="false" ht="15" hidden="false" customHeight="false" outlineLevel="0" collapsed="false">
      <c r="A41" s="90" t="str">
        <f aca="false">SRC_HW!$A41&amp;""</f>
        <v>SRC_HW_037</v>
      </c>
      <c r="B41" s="59" t="s">
        <v>8325</v>
      </c>
      <c r="C41" s="58" t="n">
        <v>41</v>
      </c>
      <c r="D41" s="90" t="str">
        <f aca="false">SRC_HW!$O41</f>
        <v>Active</v>
      </c>
      <c r="E41" s="90" t="n">
        <f aca="false">SRC_HW!$K41</f>
        <v>2</v>
      </c>
      <c r="F41" s="90" t="str">
        <f aca="false">SRC_HW!$S41</f>
        <v>—</v>
      </c>
    </row>
    <row r="42" customFormat="false" ht="15" hidden="false" customHeight="false" outlineLevel="0" collapsed="false">
      <c r="A42" s="90" t="str">
        <f aca="false">SRC_HW!$A42&amp;""</f>
        <v>SRC_HW_038</v>
      </c>
      <c r="B42" s="59" t="s">
        <v>8325</v>
      </c>
      <c r="C42" s="58" t="n">
        <v>42</v>
      </c>
      <c r="D42" s="90" t="str">
        <f aca="false">SRC_HW!$O42</f>
        <v>Active</v>
      </c>
      <c r="E42" s="90" t="n">
        <f aca="false">SRC_HW!$K42</f>
        <v>2</v>
      </c>
      <c r="F42" s="90" t="str">
        <f aca="false">SRC_HW!$S42</f>
        <v>—</v>
      </c>
    </row>
    <row r="43" customFormat="false" ht="15" hidden="false" customHeight="false" outlineLevel="0" collapsed="false">
      <c r="A43" s="90" t="str">
        <f aca="false">SRC_HW!$A43&amp;""</f>
        <v>SRC_HW_039</v>
      </c>
      <c r="B43" s="59" t="s">
        <v>8325</v>
      </c>
      <c r="C43" s="58" t="n">
        <v>43</v>
      </c>
      <c r="D43" s="90" t="str">
        <f aca="false">SRC_HW!$O43</f>
        <v>Active</v>
      </c>
      <c r="E43" s="90" t="n">
        <f aca="false">SRC_HW!$K43</f>
        <v>2</v>
      </c>
      <c r="F43" s="90" t="str">
        <f aca="false">SRC_HW!$S43</f>
        <v>—</v>
      </c>
    </row>
    <row r="44" customFormat="false" ht="15" hidden="false" customHeight="false" outlineLevel="0" collapsed="false">
      <c r="A44" s="90" t="str">
        <f aca="false">SRC_HW!$A44&amp;""</f>
        <v>SRC_HW_040</v>
      </c>
      <c r="B44" s="59" t="s">
        <v>8325</v>
      </c>
      <c r="C44" s="58" t="n">
        <v>44</v>
      </c>
      <c r="D44" s="90" t="str">
        <f aca="false">SRC_HW!$O44</f>
        <v>Active</v>
      </c>
      <c r="E44" s="90" t="n">
        <f aca="false">SRC_HW!$K44</f>
        <v>1</v>
      </c>
      <c r="F44" s="90" t="str">
        <f aca="false">SRC_HW!$S44</f>
        <v>2026-10-05</v>
      </c>
    </row>
    <row r="45" customFormat="false" ht="15" hidden="false" customHeight="false" outlineLevel="0" collapsed="false">
      <c r="A45" s="90" t="str">
        <f aca="false">SRC_HW!$A45&amp;""</f>
        <v>SRC_HW_041</v>
      </c>
      <c r="B45" s="59" t="s">
        <v>8325</v>
      </c>
      <c r="C45" s="58" t="n">
        <v>45</v>
      </c>
      <c r="D45" s="90" t="str">
        <f aca="false">SRC_HW!$O45</f>
        <v>Active</v>
      </c>
      <c r="E45" s="90" t="n">
        <f aca="false">SRC_HW!$K45</f>
        <v>3</v>
      </c>
      <c r="F45" s="90" t="str">
        <f aca="false">SRC_HW!$S45</f>
        <v>—</v>
      </c>
    </row>
    <row r="46" customFormat="false" ht="15" hidden="false" customHeight="false" outlineLevel="0" collapsed="false">
      <c r="A46" s="90" t="str">
        <f aca="false">SRC_HW!$A46&amp;""</f>
        <v>SRC_HW_042</v>
      </c>
      <c r="B46" s="59" t="s">
        <v>8325</v>
      </c>
      <c r="C46" s="58" t="n">
        <v>46</v>
      </c>
      <c r="D46" s="90" t="str">
        <f aca="false">SRC_HW!$O46</f>
        <v>Active</v>
      </c>
      <c r="E46" s="90" t="n">
        <f aca="false">SRC_HW!$K46</f>
        <v>3</v>
      </c>
      <c r="F46" s="90" t="str">
        <f aca="false">SRC_HW!$S46</f>
        <v>—</v>
      </c>
    </row>
    <row r="47" customFormat="false" ht="15" hidden="false" customHeight="false" outlineLevel="0" collapsed="false">
      <c r="A47" s="90" t="str">
        <f aca="false">SRC_HW!$A47&amp;""</f>
        <v>SRC_HW_043</v>
      </c>
      <c r="B47" s="59" t="s">
        <v>8325</v>
      </c>
      <c r="C47" s="58" t="n">
        <v>47</v>
      </c>
      <c r="D47" s="90" t="str">
        <f aca="false">SRC_HW!$O47</f>
        <v>Active</v>
      </c>
      <c r="E47" s="90" t="n">
        <f aca="false">SRC_HW!$K47</f>
        <v>1</v>
      </c>
      <c r="F47" s="90" t="str">
        <f aca="false">SRC_HW!$S47</f>
        <v>2026-10-05</v>
      </c>
    </row>
    <row r="48" customFormat="false" ht="15" hidden="false" customHeight="false" outlineLevel="0" collapsed="false">
      <c r="A48" s="90" t="str">
        <f aca="false">SRC_HW!$A48&amp;""</f>
        <v>SRC_HW_044</v>
      </c>
      <c r="B48" s="59" t="s">
        <v>8325</v>
      </c>
      <c r="C48" s="58" t="n">
        <v>48</v>
      </c>
      <c r="D48" s="90" t="str">
        <f aca="false">SRC_HW!$O48</f>
        <v>Active</v>
      </c>
      <c r="E48" s="90" t="n">
        <f aca="false">SRC_HW!$K48</f>
        <v>3</v>
      </c>
      <c r="F48" s="90" t="str">
        <f aca="false">SRC_HW!$S48</f>
        <v>—</v>
      </c>
    </row>
    <row r="49" customFormat="false" ht="15" hidden="false" customHeight="false" outlineLevel="0" collapsed="false">
      <c r="A49" s="90" t="str">
        <f aca="false">SRC_HW!$A49&amp;""</f>
        <v>SRC_HW_045</v>
      </c>
      <c r="B49" s="59" t="s">
        <v>8325</v>
      </c>
      <c r="C49" s="58" t="n">
        <v>49</v>
      </c>
      <c r="D49" s="90" t="str">
        <f aca="false">SRC_HW!$O49</f>
        <v>Superseded</v>
      </c>
      <c r="E49" s="90" t="n">
        <f aca="false">SRC_HW!$K49</f>
        <v>3</v>
      </c>
      <c r="F49" s="90" t="str">
        <f aca="false">SRC_HW!$S49</f>
        <v>—</v>
      </c>
    </row>
    <row r="50" customFormat="false" ht="15" hidden="false" customHeight="false" outlineLevel="0" collapsed="false">
      <c r="A50" s="90" t="str">
        <f aca="false">SRC_HW!$A50&amp;""</f>
        <v>SRC_HW_046</v>
      </c>
      <c r="B50" s="59" t="s">
        <v>8325</v>
      </c>
      <c r="C50" s="58" t="n">
        <v>50</v>
      </c>
      <c r="D50" s="90" t="str">
        <f aca="false">SRC_HW!$O50</f>
        <v>Active</v>
      </c>
      <c r="E50" s="90" t="n">
        <f aca="false">SRC_HW!$K50</f>
        <v>3</v>
      </c>
      <c r="F50" s="90" t="str">
        <f aca="false">SRC_HW!$S50</f>
        <v>—</v>
      </c>
    </row>
    <row r="51" customFormat="false" ht="15" hidden="false" customHeight="false" outlineLevel="0" collapsed="false">
      <c r="A51" s="90" t="str">
        <f aca="false">SRC_HW!$A51&amp;""</f>
        <v>SRC_HW_047</v>
      </c>
      <c r="B51" s="59" t="s">
        <v>8325</v>
      </c>
      <c r="C51" s="58" t="n">
        <v>51</v>
      </c>
      <c r="D51" s="90" t="str">
        <f aca="false">SRC_HW!$O51</f>
        <v>Active</v>
      </c>
      <c r="E51" s="90" t="n">
        <f aca="false">SRC_HW!$K51</f>
        <v>1</v>
      </c>
      <c r="F51" s="90" t="str">
        <f aca="false">SRC_HW!$S51</f>
        <v>2026-10-05</v>
      </c>
    </row>
    <row r="52" customFormat="false" ht="15" hidden="false" customHeight="false" outlineLevel="0" collapsed="false">
      <c r="A52" s="90" t="str">
        <f aca="false">SRC_HW!$A52&amp;""</f>
        <v>SRC_HW_048</v>
      </c>
      <c r="B52" s="59" t="s">
        <v>8325</v>
      </c>
      <c r="C52" s="58" t="n">
        <v>52</v>
      </c>
      <c r="D52" s="90" t="str">
        <f aca="false">SRC_HW!$O52</f>
        <v>Active</v>
      </c>
      <c r="E52" s="90" t="n">
        <f aca="false">SRC_HW!$K52</f>
        <v>3</v>
      </c>
      <c r="F52" s="90" t="str">
        <f aca="false">SRC_HW!$S52</f>
        <v>—</v>
      </c>
    </row>
    <row r="53" customFormat="false" ht="15" hidden="false" customHeight="false" outlineLevel="0" collapsed="false">
      <c r="A53" s="90" t="str">
        <f aca="false">SRC_HW!$A53&amp;""</f>
        <v>SRC_HW_049</v>
      </c>
      <c r="B53" s="59" t="s">
        <v>8325</v>
      </c>
      <c r="C53" s="58" t="n">
        <v>53</v>
      </c>
      <c r="D53" s="90" t="str">
        <f aca="false">SRC_HW!$O53</f>
        <v>Active</v>
      </c>
      <c r="E53" s="90" t="n">
        <f aca="false">SRC_HW!$K53</f>
        <v>3</v>
      </c>
      <c r="F53" s="90" t="str">
        <f aca="false">SRC_HW!$S53</f>
        <v>—</v>
      </c>
    </row>
    <row r="54" customFormat="false" ht="15" hidden="false" customHeight="false" outlineLevel="0" collapsed="false">
      <c r="A54" s="90" t="str">
        <f aca="false">SRC_HW!$A54&amp;""</f>
        <v>SRC_HW_050</v>
      </c>
      <c r="B54" s="59" t="s">
        <v>8325</v>
      </c>
      <c r="C54" s="58" t="n">
        <v>54</v>
      </c>
      <c r="D54" s="90" t="str">
        <f aca="false">SRC_HW!$O54</f>
        <v>Active</v>
      </c>
      <c r="E54" s="90" t="n">
        <f aca="false">SRC_HW!$K54</f>
        <v>3</v>
      </c>
      <c r="F54" s="90" t="str">
        <f aca="false">SRC_HW!$S54</f>
        <v>—</v>
      </c>
    </row>
    <row r="55" customFormat="false" ht="15" hidden="false" customHeight="false" outlineLevel="0" collapsed="false">
      <c r="A55" s="90" t="str">
        <f aca="false">SRC_HW!$A55&amp;""</f>
        <v>SRC_HW_051</v>
      </c>
      <c r="B55" s="59" t="s">
        <v>8325</v>
      </c>
      <c r="C55" s="58" t="n">
        <v>55</v>
      </c>
      <c r="D55" s="90" t="str">
        <f aca="false">SRC_HW!$O55</f>
        <v>Active</v>
      </c>
      <c r="E55" s="90" t="n">
        <f aca="false">SRC_HW!$K55</f>
        <v>3</v>
      </c>
      <c r="F55" s="90" t="str">
        <f aca="false">SRC_HW!$S55</f>
        <v>—</v>
      </c>
    </row>
    <row r="56" customFormat="false" ht="15" hidden="false" customHeight="false" outlineLevel="0" collapsed="false">
      <c r="A56" s="90" t="str">
        <f aca="false">SRC_HW!$A56&amp;""</f>
        <v>SRC_HW_052</v>
      </c>
      <c r="B56" s="59" t="s">
        <v>8325</v>
      </c>
      <c r="C56" s="58" t="n">
        <v>56</v>
      </c>
      <c r="D56" s="90" t="str">
        <f aca="false">SRC_HW!$O56</f>
        <v>Active</v>
      </c>
      <c r="E56" s="90" t="n">
        <f aca="false">SRC_HW!$K56</f>
        <v>2</v>
      </c>
      <c r="F56" s="90" t="str">
        <f aca="false">SRC_HW!$S56</f>
        <v>2026-10-08</v>
      </c>
    </row>
    <row r="57" customFormat="false" ht="15" hidden="false" customHeight="false" outlineLevel="0" collapsed="false">
      <c r="A57" s="90" t="str">
        <f aca="false">SRC_HW!$A57&amp;""</f>
        <v>SRC_HW_053</v>
      </c>
      <c r="B57" s="59" t="s">
        <v>8325</v>
      </c>
      <c r="C57" s="58" t="n">
        <v>57</v>
      </c>
      <c r="D57" s="90" t="str">
        <f aca="false">SRC_HW!$O57</f>
        <v>Active</v>
      </c>
      <c r="E57" s="90" t="n">
        <f aca="false">SRC_HW!$K57</f>
        <v>1</v>
      </c>
      <c r="F57" s="90" t="str">
        <f aca="false">SRC_HW!$S57</f>
        <v>2026-10-05</v>
      </c>
    </row>
    <row r="58" customFormat="false" ht="15" hidden="false" customHeight="false" outlineLevel="0" collapsed="false">
      <c r="A58" s="90" t="str">
        <f aca="false">SRC_HW!$A58&amp;""</f>
        <v>SRC_HW_054</v>
      </c>
      <c r="B58" s="59" t="s">
        <v>8325</v>
      </c>
      <c r="C58" s="58" t="n">
        <v>58</v>
      </c>
      <c r="D58" s="90" t="str">
        <f aca="false">SRC_HW!$O58</f>
        <v>Superseded</v>
      </c>
      <c r="E58" s="90" t="n">
        <f aca="false">SRC_HW!$K58</f>
        <v>3</v>
      </c>
      <c r="F58" s="90" t="str">
        <f aca="false">SRC_HW!$S58</f>
        <v>—</v>
      </c>
    </row>
    <row r="59" customFormat="false" ht="15" hidden="false" customHeight="false" outlineLevel="0" collapsed="false">
      <c r="A59" s="90" t="str">
        <f aca="false">SRC_HW!$A59&amp;""</f>
        <v>SRC_HW_055</v>
      </c>
      <c r="B59" s="59" t="s">
        <v>8325</v>
      </c>
      <c r="C59" s="58" t="n">
        <v>59</v>
      </c>
      <c r="D59" s="90" t="str">
        <f aca="false">SRC_HW!$O59</f>
        <v>Active</v>
      </c>
      <c r="E59" s="90" t="n">
        <f aca="false">SRC_HW!$K59</f>
        <v>3</v>
      </c>
      <c r="F59" s="90" t="str">
        <f aca="false">SRC_HW!$S59</f>
        <v>—</v>
      </c>
    </row>
    <row r="60" customFormat="false" ht="15" hidden="false" customHeight="false" outlineLevel="0" collapsed="false">
      <c r="A60" s="90" t="str">
        <f aca="false">SRC_HW!$A60&amp;""</f>
        <v>SRC_HW_056</v>
      </c>
      <c r="B60" s="59" t="s">
        <v>8325</v>
      </c>
      <c r="C60" s="58" t="n">
        <v>60</v>
      </c>
      <c r="D60" s="90" t="str">
        <f aca="false">SRC_HW!$O60</f>
        <v>Active</v>
      </c>
      <c r="E60" s="90" t="n">
        <f aca="false">SRC_HW!$K60</f>
        <v>3</v>
      </c>
      <c r="F60" s="90" t="str">
        <f aca="false">SRC_HW!$S60</f>
        <v>—</v>
      </c>
    </row>
    <row r="61" customFormat="false" ht="15" hidden="false" customHeight="false" outlineLevel="0" collapsed="false">
      <c r="A61" s="90" t="str">
        <f aca="false">SRC_HW!$A61&amp;""</f>
        <v>SRC_HW_057</v>
      </c>
      <c r="B61" s="59" t="s">
        <v>8325</v>
      </c>
      <c r="C61" s="58" t="n">
        <v>61</v>
      </c>
      <c r="D61" s="90" t="str">
        <f aca="false">SRC_HW!$O61</f>
        <v>Active</v>
      </c>
      <c r="E61" s="90" t="n">
        <f aca="false">SRC_HW!$K61</f>
        <v>3</v>
      </c>
      <c r="F61" s="90" t="str">
        <f aca="false">SRC_HW!$S61</f>
        <v>—</v>
      </c>
    </row>
    <row r="62" customFormat="false" ht="15" hidden="false" customHeight="false" outlineLevel="0" collapsed="false">
      <c r="A62" s="90" t="str">
        <f aca="false">SRC_HW!$A62&amp;""</f>
        <v>SRC_HW_058</v>
      </c>
      <c r="B62" s="59" t="s">
        <v>8325</v>
      </c>
      <c r="C62" s="58" t="n">
        <v>62</v>
      </c>
      <c r="D62" s="90" t="str">
        <f aca="false">SRC_HW!$O62</f>
        <v>Active</v>
      </c>
      <c r="E62" s="90" t="n">
        <f aca="false">SRC_HW!$K62</f>
        <v>3</v>
      </c>
      <c r="F62" s="90" t="str">
        <f aca="false">SRC_HW!$S62</f>
        <v>—</v>
      </c>
    </row>
    <row r="63" customFormat="false" ht="15" hidden="false" customHeight="false" outlineLevel="0" collapsed="false">
      <c r="A63" s="90" t="str">
        <f aca="false">SRC_HW!$A63&amp;""</f>
        <v>SRC_HW_059</v>
      </c>
      <c r="B63" s="59" t="s">
        <v>8325</v>
      </c>
      <c r="C63" s="58" t="n">
        <v>63</v>
      </c>
      <c r="D63" s="90" t="str">
        <f aca="false">SRC_HW!$O63</f>
        <v>Active</v>
      </c>
      <c r="E63" s="90" t="n">
        <f aca="false">SRC_HW!$K63</f>
        <v>3</v>
      </c>
      <c r="F63" s="90" t="str">
        <f aca="false">SRC_HW!$S63</f>
        <v>—</v>
      </c>
    </row>
    <row r="64" customFormat="false" ht="15" hidden="false" customHeight="false" outlineLevel="0" collapsed="false">
      <c r="A64" s="90" t="str">
        <f aca="false">SRC_HW!$A64&amp;""</f>
        <v>SRC_HW_060</v>
      </c>
      <c r="B64" s="59" t="s">
        <v>8325</v>
      </c>
      <c r="C64" s="58" t="n">
        <v>64</v>
      </c>
      <c r="D64" s="90" t="str">
        <f aca="false">SRC_HW!$O64</f>
        <v>Active</v>
      </c>
      <c r="E64" s="90" t="n">
        <f aca="false">SRC_HW!$K64</f>
        <v>3</v>
      </c>
      <c r="F64" s="90" t="str">
        <f aca="false">SRC_HW!$S64</f>
        <v>—</v>
      </c>
    </row>
    <row r="65" customFormat="false" ht="15" hidden="false" customHeight="false" outlineLevel="0" collapsed="false">
      <c r="A65" s="90" t="str">
        <f aca="false">SRC_HW!$A65&amp;""</f>
        <v>SRC_HW_061</v>
      </c>
      <c r="B65" s="59" t="s">
        <v>8325</v>
      </c>
      <c r="C65" s="58" t="n">
        <v>65</v>
      </c>
      <c r="D65" s="90" t="str">
        <f aca="false">SRC_HW!$O65</f>
        <v>Active</v>
      </c>
      <c r="E65" s="90" t="n">
        <f aca="false">SRC_HW!$K65</f>
        <v>1</v>
      </c>
      <c r="F65" s="90" t="str">
        <f aca="false">SRC_HW!$S65</f>
        <v>—</v>
      </c>
    </row>
    <row r="66" customFormat="false" ht="15" hidden="false" customHeight="false" outlineLevel="0" collapsed="false">
      <c r="A66" s="90" t="str">
        <f aca="false">SRC_HW!$A66&amp;""</f>
        <v>SRC_HW_062</v>
      </c>
      <c r="B66" s="59" t="s">
        <v>8325</v>
      </c>
      <c r="C66" s="58" t="n">
        <v>66</v>
      </c>
      <c r="D66" s="90" t="str">
        <f aca="false">SRC_HW!$O66</f>
        <v>Active</v>
      </c>
      <c r="E66" s="90" t="n">
        <f aca="false">SRC_HW!$K66</f>
        <v>1</v>
      </c>
      <c r="F66" s="90" t="str">
        <f aca="false">SRC_HW!$S66</f>
        <v>—</v>
      </c>
    </row>
    <row r="67" customFormat="false" ht="15" hidden="false" customHeight="false" outlineLevel="0" collapsed="false">
      <c r="A67" s="90" t="str">
        <f aca="false">SRC_HW!$A67&amp;""</f>
        <v>SRC_HW_063</v>
      </c>
      <c r="B67" s="59" t="s">
        <v>8325</v>
      </c>
      <c r="C67" s="58" t="n">
        <v>67</v>
      </c>
      <c r="D67" s="90" t="str">
        <f aca="false">SRC_HW!$O67</f>
        <v>Active</v>
      </c>
      <c r="E67" s="90" t="n">
        <f aca="false">SRC_HW!$K67</f>
        <v>1</v>
      </c>
      <c r="F67" s="90" t="str">
        <f aca="false">SRC_HW!$S67</f>
        <v>—</v>
      </c>
    </row>
    <row r="68" customFormat="false" ht="15" hidden="false" customHeight="false" outlineLevel="0" collapsed="false">
      <c r="A68" s="90" t="str">
        <f aca="false">SRC_HW!$A68&amp;""</f>
        <v>SRC_HW_064</v>
      </c>
      <c r="B68" s="59" t="s">
        <v>8325</v>
      </c>
      <c r="C68" s="58" t="n">
        <v>68</v>
      </c>
      <c r="D68" s="90" t="str">
        <f aca="false">SRC_HW!$O68</f>
        <v>Active</v>
      </c>
      <c r="E68" s="90" t="n">
        <f aca="false">SRC_HW!$K68</f>
        <v>1</v>
      </c>
      <c r="F68" s="90" t="str">
        <f aca="false">SRC_HW!$S68</f>
        <v>—</v>
      </c>
    </row>
    <row r="69" customFormat="false" ht="15" hidden="false" customHeight="false" outlineLevel="0" collapsed="false">
      <c r="A69" s="90" t="str">
        <f aca="false">SRC_HW!$A69&amp;""</f>
        <v>SRC_HW_065</v>
      </c>
      <c r="B69" s="59" t="s">
        <v>8325</v>
      </c>
      <c r="C69" s="58" t="n">
        <v>69</v>
      </c>
      <c r="D69" s="90" t="str">
        <f aca="false">SRC_HW!$O69</f>
        <v>Alt</v>
      </c>
      <c r="E69" s="90" t="n">
        <f aca="false">SRC_HW!$K69</f>
        <v>2</v>
      </c>
      <c r="F69" s="90" t="str">
        <f aca="false">SRC_HW!$S69</f>
        <v>—</v>
      </c>
    </row>
    <row r="70" customFormat="false" ht="15" hidden="false" customHeight="false" outlineLevel="0" collapsed="false">
      <c r="A70" s="90" t="str">
        <f aca="false">SRC_HW!$A70&amp;""</f>
        <v>SRC_HW_066</v>
      </c>
      <c r="B70" s="59" t="s">
        <v>8325</v>
      </c>
      <c r="C70" s="58" t="n">
        <v>70</v>
      </c>
      <c r="D70" s="90" t="str">
        <f aca="false">SRC_HW!$O70</f>
        <v>Active</v>
      </c>
      <c r="E70" s="90" t="n">
        <f aca="false">SRC_HW!$K70</f>
        <v>1</v>
      </c>
      <c r="F70" s="90" t="str">
        <f aca="false">SRC_HW!$S70</f>
        <v>—</v>
      </c>
    </row>
    <row r="71" customFormat="false" ht="15" hidden="false" customHeight="false" outlineLevel="0" collapsed="false">
      <c r="A71" s="90" t="str">
        <f aca="false">SRC_HW!$A71&amp;""</f>
        <v/>
      </c>
      <c r="B71" s="59" t="s">
        <v>8325</v>
      </c>
      <c r="C71" s="58" t="n">
        <v>71</v>
      </c>
      <c r="D71" s="90" t="n">
        <f aca="false">SRC_HW!$O71</f>
        <v>0</v>
      </c>
      <c r="E71" s="90" t="n">
        <f aca="false">SRC_HW!$K71</f>
        <v>0</v>
      </c>
      <c r="F71" s="90" t="n">
        <f aca="false">SRC_HW!$S71</f>
        <v>0</v>
      </c>
    </row>
    <row r="72" customFormat="false" ht="15" hidden="false" customHeight="false" outlineLevel="0" collapsed="false">
      <c r="A72" s="90" t="str">
        <f aca="false">SRC_HW!$A72&amp;""</f>
        <v/>
      </c>
      <c r="B72" s="59" t="s">
        <v>8325</v>
      </c>
      <c r="C72" s="58" t="n">
        <v>72</v>
      </c>
      <c r="D72" s="90" t="n">
        <f aca="false">SRC_HW!$O72</f>
        <v>0</v>
      </c>
      <c r="E72" s="90" t="n">
        <f aca="false">SRC_HW!$K72</f>
        <v>0</v>
      </c>
      <c r="F72" s="90" t="n">
        <f aca="false">SRC_HW!$S72</f>
        <v>0</v>
      </c>
    </row>
    <row r="73" customFormat="false" ht="15" hidden="false" customHeight="false" outlineLevel="0" collapsed="false">
      <c r="A73" s="90" t="str">
        <f aca="false">SRC_HW!$A73&amp;""</f>
        <v/>
      </c>
      <c r="B73" s="59" t="s">
        <v>8325</v>
      </c>
      <c r="C73" s="58" t="n">
        <v>73</v>
      </c>
      <c r="D73" s="90" t="n">
        <f aca="false">SRC_HW!$O73</f>
        <v>0</v>
      </c>
      <c r="E73" s="90" t="n">
        <f aca="false">SRC_HW!$K73</f>
        <v>0</v>
      </c>
      <c r="F73" s="90" t="n">
        <f aca="false">SRC_HW!$S73</f>
        <v>0</v>
      </c>
    </row>
    <row r="74" customFormat="false" ht="15" hidden="false" customHeight="false" outlineLevel="0" collapsed="false">
      <c r="A74" s="90" t="str">
        <f aca="false">SRC_HW!$A74&amp;""</f>
        <v/>
      </c>
      <c r="B74" s="59" t="s">
        <v>8325</v>
      </c>
      <c r="C74" s="58" t="n">
        <v>74</v>
      </c>
      <c r="D74" s="90" t="n">
        <f aca="false">SRC_HW!$O74</f>
        <v>0</v>
      </c>
      <c r="E74" s="90" t="n">
        <f aca="false">SRC_HW!$K74</f>
        <v>0</v>
      </c>
      <c r="F74" s="90" t="n">
        <f aca="false">SRC_HW!$S74</f>
        <v>0</v>
      </c>
    </row>
    <row r="75" customFormat="false" ht="15" hidden="false" customHeight="false" outlineLevel="0" collapsed="false">
      <c r="A75" s="90" t="str">
        <f aca="false">SRC_HW!$A75&amp;""</f>
        <v/>
      </c>
      <c r="B75" s="59" t="s">
        <v>8325</v>
      </c>
      <c r="C75" s="58" t="n">
        <v>75</v>
      </c>
      <c r="D75" s="90" t="n">
        <f aca="false">SRC_HW!$O75</f>
        <v>0</v>
      </c>
      <c r="E75" s="90" t="n">
        <f aca="false">SRC_HW!$K75</f>
        <v>0</v>
      </c>
      <c r="F75" s="90" t="n">
        <f aca="false">SRC_HW!$S75</f>
        <v>0</v>
      </c>
    </row>
    <row r="76" customFormat="false" ht="15" hidden="false" customHeight="false" outlineLevel="0" collapsed="false">
      <c r="A76" s="90" t="str">
        <f aca="false">SRC_HW!$A76&amp;""</f>
        <v/>
      </c>
      <c r="B76" s="59" t="s">
        <v>8325</v>
      </c>
      <c r="C76" s="58" t="n">
        <v>76</v>
      </c>
      <c r="D76" s="90" t="n">
        <f aca="false">SRC_HW!$O76</f>
        <v>0</v>
      </c>
      <c r="E76" s="90" t="n">
        <f aca="false">SRC_HW!$K76</f>
        <v>0</v>
      </c>
      <c r="F76" s="90" t="n">
        <f aca="false">SRC_HW!$S76</f>
        <v>0</v>
      </c>
    </row>
    <row r="77" customFormat="false" ht="15" hidden="false" customHeight="false" outlineLevel="0" collapsed="false">
      <c r="A77" s="90" t="str">
        <f aca="false">SRC_HW!$A77&amp;""</f>
        <v/>
      </c>
      <c r="B77" s="59" t="s">
        <v>8325</v>
      </c>
      <c r="C77" s="58" t="n">
        <v>77</v>
      </c>
      <c r="D77" s="90" t="n">
        <f aca="false">SRC_HW!$O77</f>
        <v>0</v>
      </c>
      <c r="E77" s="90" t="n">
        <f aca="false">SRC_HW!$K77</f>
        <v>0</v>
      </c>
      <c r="F77" s="90" t="n">
        <f aca="false">SRC_HW!$S77</f>
        <v>0</v>
      </c>
    </row>
    <row r="78" customFormat="false" ht="15" hidden="false" customHeight="false" outlineLevel="0" collapsed="false">
      <c r="A78" s="90" t="str">
        <f aca="false">SRC_HW!$A78&amp;""</f>
        <v/>
      </c>
      <c r="B78" s="59" t="s">
        <v>8325</v>
      </c>
      <c r="C78" s="58" t="n">
        <v>78</v>
      </c>
      <c r="D78" s="90" t="n">
        <f aca="false">SRC_HW!$O78</f>
        <v>0</v>
      </c>
      <c r="E78" s="90" t="n">
        <f aca="false">SRC_HW!$K78</f>
        <v>0</v>
      </c>
      <c r="F78" s="90" t="n">
        <f aca="false">SRC_HW!$S78</f>
        <v>0</v>
      </c>
    </row>
    <row r="79" customFormat="false" ht="15" hidden="false" customHeight="false" outlineLevel="0" collapsed="false">
      <c r="A79" s="90" t="str">
        <f aca="false">SRC_HW!$A79&amp;""</f>
        <v/>
      </c>
      <c r="B79" s="59" t="s">
        <v>8325</v>
      </c>
      <c r="C79" s="58" t="n">
        <v>79</v>
      </c>
      <c r="D79" s="90" t="n">
        <f aca="false">SRC_HW!$O79</f>
        <v>0</v>
      </c>
      <c r="E79" s="90" t="n">
        <f aca="false">SRC_HW!$K79</f>
        <v>0</v>
      </c>
      <c r="F79" s="90" t="n">
        <f aca="false">SRC_HW!$S79</f>
        <v>0</v>
      </c>
    </row>
    <row r="80" customFormat="false" ht="15" hidden="false" customHeight="false" outlineLevel="0" collapsed="false">
      <c r="A80" s="90" t="str">
        <f aca="false">SRC_HW!$A80&amp;""</f>
        <v/>
      </c>
      <c r="B80" s="59" t="s">
        <v>8325</v>
      </c>
      <c r="C80" s="58" t="n">
        <v>80</v>
      </c>
      <c r="D80" s="90" t="n">
        <f aca="false">SRC_HW!$O80</f>
        <v>0</v>
      </c>
      <c r="E80" s="90" t="n">
        <f aca="false">SRC_HW!$K80</f>
        <v>0</v>
      </c>
      <c r="F80" s="90" t="n">
        <f aca="false">SRC_HW!$S80</f>
        <v>0</v>
      </c>
    </row>
    <row r="81" customFormat="false" ht="15" hidden="false" customHeight="false" outlineLevel="0" collapsed="false">
      <c r="A81" s="90" t="str">
        <f aca="false">SRC_HW!$A81&amp;""</f>
        <v/>
      </c>
      <c r="B81" s="59" t="s">
        <v>8325</v>
      </c>
      <c r="C81" s="58" t="n">
        <v>81</v>
      </c>
      <c r="D81" s="90" t="n">
        <f aca="false">SRC_HW!$O81</f>
        <v>0</v>
      </c>
      <c r="E81" s="90" t="n">
        <f aca="false">SRC_HW!$K81</f>
        <v>0</v>
      </c>
      <c r="F81" s="90" t="n">
        <f aca="false">SRC_HW!$S81</f>
        <v>0</v>
      </c>
    </row>
    <row r="82" customFormat="false" ht="15" hidden="false" customHeight="false" outlineLevel="0" collapsed="false">
      <c r="A82" s="90" t="str">
        <f aca="false">SRC_HW!$A82&amp;""</f>
        <v/>
      </c>
      <c r="B82" s="59" t="s">
        <v>8325</v>
      </c>
      <c r="C82" s="58" t="n">
        <v>82</v>
      </c>
      <c r="D82" s="90" t="n">
        <f aca="false">SRC_HW!$O82</f>
        <v>0</v>
      </c>
      <c r="E82" s="90" t="n">
        <f aca="false">SRC_HW!$K82</f>
        <v>0</v>
      </c>
      <c r="F82" s="90" t="n">
        <f aca="false">SRC_HW!$S82</f>
        <v>0</v>
      </c>
    </row>
    <row r="83" customFormat="false" ht="15" hidden="false" customHeight="false" outlineLevel="0" collapsed="false">
      <c r="A83" s="90" t="str">
        <f aca="false">SRC_HW!$A83&amp;""</f>
        <v/>
      </c>
      <c r="B83" s="59" t="s">
        <v>8325</v>
      </c>
      <c r="C83" s="58" t="n">
        <v>83</v>
      </c>
      <c r="D83" s="90" t="n">
        <f aca="false">SRC_HW!$O83</f>
        <v>0</v>
      </c>
      <c r="E83" s="90" t="n">
        <f aca="false">SRC_HW!$K83</f>
        <v>0</v>
      </c>
      <c r="F83" s="90" t="n">
        <f aca="false">SRC_HW!$S83</f>
        <v>0</v>
      </c>
    </row>
    <row r="84" customFormat="false" ht="15" hidden="false" customHeight="false" outlineLevel="0" collapsed="false">
      <c r="A84" s="90" t="str">
        <f aca="false">SRC_HW!$A84&amp;""</f>
        <v/>
      </c>
      <c r="B84" s="59" t="s">
        <v>8325</v>
      </c>
      <c r="C84" s="58" t="n">
        <v>84</v>
      </c>
      <c r="D84" s="90" t="n">
        <f aca="false">SRC_HW!$O84</f>
        <v>0</v>
      </c>
      <c r="E84" s="90" t="n">
        <f aca="false">SRC_HW!$K84</f>
        <v>0</v>
      </c>
      <c r="F84" s="90" t="n">
        <f aca="false">SRC_HW!$S84</f>
        <v>0</v>
      </c>
    </row>
    <row r="85" customFormat="false" ht="15" hidden="false" customHeight="false" outlineLevel="0" collapsed="false">
      <c r="A85" s="90" t="str">
        <f aca="false">SRC_HW!$A85&amp;""</f>
        <v/>
      </c>
      <c r="B85" s="59" t="s">
        <v>8325</v>
      </c>
      <c r="C85" s="58" t="n">
        <v>85</v>
      </c>
      <c r="D85" s="90" t="n">
        <f aca="false">SRC_HW!$O85</f>
        <v>0</v>
      </c>
      <c r="E85" s="90" t="n">
        <f aca="false">SRC_HW!$K85</f>
        <v>0</v>
      </c>
      <c r="F85" s="90" t="n">
        <f aca="false">SRC_HW!$S85</f>
        <v>0</v>
      </c>
    </row>
    <row r="86" customFormat="false" ht="15" hidden="false" customHeight="false" outlineLevel="0" collapsed="false">
      <c r="A86" s="90" t="str">
        <f aca="false">SRC_HW!$A86&amp;""</f>
        <v/>
      </c>
      <c r="B86" s="59" t="s">
        <v>8325</v>
      </c>
      <c r="C86" s="58" t="n">
        <v>86</v>
      </c>
      <c r="D86" s="90" t="n">
        <f aca="false">SRC_HW!$O86</f>
        <v>0</v>
      </c>
      <c r="E86" s="90" t="n">
        <f aca="false">SRC_HW!$K86</f>
        <v>0</v>
      </c>
      <c r="F86" s="90" t="n">
        <f aca="false">SRC_HW!$S86</f>
        <v>0</v>
      </c>
    </row>
    <row r="87" customFormat="false" ht="15" hidden="false" customHeight="false" outlineLevel="0" collapsed="false">
      <c r="A87" s="90" t="str">
        <f aca="false">SRC_HW!$A87&amp;""</f>
        <v/>
      </c>
      <c r="B87" s="59" t="s">
        <v>8325</v>
      </c>
      <c r="C87" s="58" t="n">
        <v>87</v>
      </c>
      <c r="D87" s="90" t="n">
        <f aca="false">SRC_HW!$O87</f>
        <v>0</v>
      </c>
      <c r="E87" s="90" t="n">
        <f aca="false">SRC_HW!$K87</f>
        <v>0</v>
      </c>
      <c r="F87" s="90" t="n">
        <f aca="false">SRC_HW!$S87</f>
        <v>0</v>
      </c>
    </row>
    <row r="88" customFormat="false" ht="15" hidden="false" customHeight="false" outlineLevel="0" collapsed="false">
      <c r="A88" s="90" t="str">
        <f aca="false">SRC_HW!$A88&amp;""</f>
        <v/>
      </c>
      <c r="B88" s="59" t="s">
        <v>8325</v>
      </c>
      <c r="C88" s="58" t="n">
        <v>88</v>
      </c>
      <c r="D88" s="90" t="n">
        <f aca="false">SRC_HW!$O88</f>
        <v>0</v>
      </c>
      <c r="E88" s="90" t="n">
        <f aca="false">SRC_HW!$K88</f>
        <v>0</v>
      </c>
      <c r="F88" s="90" t="n">
        <f aca="false">SRC_HW!$S88</f>
        <v>0</v>
      </c>
    </row>
    <row r="89" customFormat="false" ht="15" hidden="false" customHeight="false" outlineLevel="0" collapsed="false">
      <c r="A89" s="90" t="str">
        <f aca="false">SRC_HW!$A89&amp;""</f>
        <v/>
      </c>
      <c r="B89" s="59" t="s">
        <v>8325</v>
      </c>
      <c r="C89" s="58" t="n">
        <v>89</v>
      </c>
      <c r="D89" s="90" t="n">
        <f aca="false">SRC_HW!$O89</f>
        <v>0</v>
      </c>
      <c r="E89" s="90" t="n">
        <f aca="false">SRC_HW!$K89</f>
        <v>0</v>
      </c>
      <c r="F89" s="90" t="n">
        <f aca="false">SRC_HW!$S89</f>
        <v>0</v>
      </c>
    </row>
    <row r="90" customFormat="false" ht="15" hidden="false" customHeight="false" outlineLevel="0" collapsed="false">
      <c r="A90" s="90" t="str">
        <f aca="false">SRC_HW!$A90&amp;""</f>
        <v/>
      </c>
      <c r="B90" s="59" t="s">
        <v>8325</v>
      </c>
      <c r="C90" s="58" t="n">
        <v>90</v>
      </c>
      <c r="D90" s="90" t="n">
        <f aca="false">SRC_HW!$O90</f>
        <v>0</v>
      </c>
      <c r="E90" s="90" t="n">
        <f aca="false">SRC_HW!$K90</f>
        <v>0</v>
      </c>
      <c r="F90" s="90" t="n">
        <f aca="false">SRC_HW!$S90</f>
        <v>0</v>
      </c>
    </row>
    <row r="91" customFormat="false" ht="15" hidden="false" customHeight="false" outlineLevel="0" collapsed="false">
      <c r="A91" s="90" t="str">
        <f aca="false">SRC_HW!$A91&amp;""</f>
        <v/>
      </c>
      <c r="B91" s="59" t="s">
        <v>8325</v>
      </c>
      <c r="C91" s="58" t="n">
        <v>91</v>
      </c>
      <c r="D91" s="90" t="n">
        <f aca="false">SRC_HW!$O91</f>
        <v>0</v>
      </c>
      <c r="E91" s="90" t="n">
        <f aca="false">SRC_HW!$K91</f>
        <v>0</v>
      </c>
      <c r="F91" s="90" t="n">
        <f aca="false">SRC_HW!$S91</f>
        <v>0</v>
      </c>
    </row>
    <row r="92" customFormat="false" ht="15" hidden="false" customHeight="false" outlineLevel="0" collapsed="false">
      <c r="A92" s="90" t="str">
        <f aca="false">SRC_HW!$A92&amp;""</f>
        <v/>
      </c>
      <c r="B92" s="59" t="s">
        <v>8325</v>
      </c>
      <c r="C92" s="58" t="n">
        <v>92</v>
      </c>
      <c r="D92" s="90" t="n">
        <f aca="false">SRC_HW!$O92</f>
        <v>0</v>
      </c>
      <c r="E92" s="90" t="n">
        <f aca="false">SRC_HW!$K92</f>
        <v>0</v>
      </c>
      <c r="F92" s="90" t="n">
        <f aca="false">SRC_HW!$S92</f>
        <v>0</v>
      </c>
    </row>
    <row r="93" customFormat="false" ht="15" hidden="false" customHeight="false" outlineLevel="0" collapsed="false">
      <c r="A93" s="90" t="str">
        <f aca="false">SRC_HW!$A93&amp;""</f>
        <v/>
      </c>
      <c r="B93" s="59" t="s">
        <v>8325</v>
      </c>
      <c r="C93" s="58" t="n">
        <v>93</v>
      </c>
      <c r="D93" s="90" t="n">
        <f aca="false">SRC_HW!$O93</f>
        <v>0</v>
      </c>
      <c r="E93" s="90" t="n">
        <f aca="false">SRC_HW!$K93</f>
        <v>0</v>
      </c>
      <c r="F93" s="90" t="n">
        <f aca="false">SRC_HW!$S93</f>
        <v>0</v>
      </c>
    </row>
    <row r="94" customFormat="false" ht="15" hidden="false" customHeight="false" outlineLevel="0" collapsed="false">
      <c r="A94" s="90" t="str">
        <f aca="false">SRC_HW!$A94&amp;""</f>
        <v/>
      </c>
      <c r="B94" s="59" t="s">
        <v>8325</v>
      </c>
      <c r="C94" s="58" t="n">
        <v>94</v>
      </c>
      <c r="D94" s="90" t="n">
        <f aca="false">SRC_HW!$O94</f>
        <v>0</v>
      </c>
      <c r="E94" s="90" t="n">
        <f aca="false">SRC_HW!$K94</f>
        <v>0</v>
      </c>
      <c r="F94" s="90" t="n">
        <f aca="false">SRC_HW!$S94</f>
        <v>0</v>
      </c>
    </row>
    <row r="95" customFormat="false" ht="15" hidden="false" customHeight="false" outlineLevel="0" collapsed="false">
      <c r="A95" s="90" t="str">
        <f aca="false">SRC_HW!$A95&amp;""</f>
        <v/>
      </c>
      <c r="B95" s="59" t="s">
        <v>8325</v>
      </c>
      <c r="C95" s="58" t="n">
        <v>95</v>
      </c>
      <c r="D95" s="90" t="n">
        <f aca="false">SRC_HW!$O95</f>
        <v>0</v>
      </c>
      <c r="E95" s="90" t="n">
        <f aca="false">SRC_HW!$K95</f>
        <v>0</v>
      </c>
      <c r="F95" s="90" t="n">
        <f aca="false">SRC_HW!$S95</f>
        <v>0</v>
      </c>
    </row>
    <row r="96" customFormat="false" ht="15" hidden="false" customHeight="false" outlineLevel="0" collapsed="false">
      <c r="A96" s="90" t="str">
        <f aca="false">SRC_HW!$A96&amp;""</f>
        <v/>
      </c>
      <c r="B96" s="59" t="s">
        <v>8325</v>
      </c>
      <c r="C96" s="58" t="n">
        <v>96</v>
      </c>
      <c r="D96" s="90" t="n">
        <f aca="false">SRC_HW!$O96</f>
        <v>0</v>
      </c>
      <c r="E96" s="90" t="n">
        <f aca="false">SRC_HW!$K96</f>
        <v>0</v>
      </c>
      <c r="F96" s="90" t="n">
        <f aca="false">SRC_HW!$S96</f>
        <v>0</v>
      </c>
    </row>
    <row r="97" customFormat="false" ht="15" hidden="false" customHeight="false" outlineLevel="0" collapsed="false">
      <c r="A97" s="90" t="str">
        <f aca="false">SRC_HW!$A97&amp;""</f>
        <v/>
      </c>
      <c r="B97" s="59" t="s">
        <v>8325</v>
      </c>
      <c r="C97" s="58" t="n">
        <v>97</v>
      </c>
      <c r="D97" s="90" t="n">
        <f aca="false">SRC_HW!$O97</f>
        <v>0</v>
      </c>
      <c r="E97" s="90" t="n">
        <f aca="false">SRC_HW!$K97</f>
        <v>0</v>
      </c>
      <c r="F97" s="90" t="n">
        <f aca="false">SRC_HW!$S97</f>
        <v>0</v>
      </c>
    </row>
    <row r="98" customFormat="false" ht="15" hidden="false" customHeight="false" outlineLevel="0" collapsed="false">
      <c r="A98" s="90" t="str">
        <f aca="false">SRC_HW!$A98&amp;""</f>
        <v/>
      </c>
      <c r="B98" s="59" t="s">
        <v>8325</v>
      </c>
      <c r="C98" s="58" t="n">
        <v>98</v>
      </c>
      <c r="D98" s="90" t="n">
        <f aca="false">SRC_HW!$O98</f>
        <v>0</v>
      </c>
      <c r="E98" s="90" t="n">
        <f aca="false">SRC_HW!$K98</f>
        <v>0</v>
      </c>
      <c r="F98" s="90" t="n">
        <f aca="false">SRC_HW!$S98</f>
        <v>0</v>
      </c>
    </row>
    <row r="99" customFormat="false" ht="15" hidden="false" customHeight="false" outlineLevel="0" collapsed="false">
      <c r="A99" s="90" t="str">
        <f aca="false">SRC_HW!$A99&amp;""</f>
        <v/>
      </c>
      <c r="B99" s="59" t="s">
        <v>8325</v>
      </c>
      <c r="C99" s="58" t="n">
        <v>99</v>
      </c>
      <c r="D99" s="90" t="n">
        <f aca="false">SRC_HW!$O99</f>
        <v>0</v>
      </c>
      <c r="E99" s="90" t="n">
        <f aca="false">SRC_HW!$K99</f>
        <v>0</v>
      </c>
      <c r="F99" s="90" t="n">
        <f aca="false">SRC_HW!$S99</f>
        <v>0</v>
      </c>
    </row>
    <row r="100" customFormat="false" ht="15" hidden="false" customHeight="false" outlineLevel="0" collapsed="false">
      <c r="A100" s="90" t="str">
        <f aca="false">SRC_HW!$A100&amp;""</f>
        <v/>
      </c>
      <c r="B100" s="59" t="s">
        <v>8325</v>
      </c>
      <c r="C100" s="58" t="n">
        <v>100</v>
      </c>
      <c r="D100" s="90" t="n">
        <f aca="false">SRC_HW!$O100</f>
        <v>0</v>
      </c>
      <c r="E100" s="90" t="n">
        <f aca="false">SRC_HW!$K100</f>
        <v>0</v>
      </c>
      <c r="F100" s="90" t="n">
        <f aca="false">SRC_HW!$S100</f>
        <v>0</v>
      </c>
    </row>
    <row r="101" customFormat="false" ht="15" hidden="false" customHeight="false" outlineLevel="0" collapsed="false">
      <c r="A101" s="90" t="str">
        <f aca="false">SRC_HW!$A101&amp;""</f>
        <v/>
      </c>
      <c r="B101" s="59" t="s">
        <v>8325</v>
      </c>
      <c r="C101" s="58" t="n">
        <v>101</v>
      </c>
      <c r="D101" s="90" t="n">
        <f aca="false">SRC_HW!$O101</f>
        <v>0</v>
      </c>
      <c r="E101" s="90" t="n">
        <f aca="false">SRC_HW!$K101</f>
        <v>0</v>
      </c>
      <c r="F101" s="90" t="n">
        <f aca="false">SRC_HW!$S101</f>
        <v>0</v>
      </c>
    </row>
    <row r="102" customFormat="false" ht="15" hidden="false" customHeight="false" outlineLevel="0" collapsed="false">
      <c r="A102" s="90" t="str">
        <f aca="false">SRC_HW!$A102&amp;""</f>
        <v/>
      </c>
      <c r="B102" s="59" t="s">
        <v>8325</v>
      </c>
      <c r="C102" s="58" t="n">
        <v>102</v>
      </c>
      <c r="D102" s="90" t="n">
        <f aca="false">SRC_HW!$O102</f>
        <v>0</v>
      </c>
      <c r="E102" s="90" t="n">
        <f aca="false">SRC_HW!$K102</f>
        <v>0</v>
      </c>
      <c r="F102" s="90" t="n">
        <f aca="false">SRC_HW!$S102</f>
        <v>0</v>
      </c>
    </row>
    <row r="103" customFormat="false" ht="15" hidden="false" customHeight="false" outlineLevel="0" collapsed="false">
      <c r="A103" s="90" t="str">
        <f aca="false">SRC_HW!$A103&amp;""</f>
        <v/>
      </c>
      <c r="B103" s="59" t="s">
        <v>8325</v>
      </c>
      <c r="C103" s="58" t="n">
        <v>103</v>
      </c>
      <c r="D103" s="90" t="n">
        <f aca="false">SRC_HW!$O103</f>
        <v>0</v>
      </c>
      <c r="E103" s="90" t="n">
        <f aca="false">SRC_HW!$K103</f>
        <v>0</v>
      </c>
      <c r="F103" s="90" t="n">
        <f aca="false">SRC_HW!$S103</f>
        <v>0</v>
      </c>
    </row>
    <row r="104" customFormat="false" ht="15" hidden="false" customHeight="false" outlineLevel="0" collapsed="false">
      <c r="A104" s="90" t="str">
        <f aca="false">SRC_HW!$A104&amp;""</f>
        <v/>
      </c>
      <c r="B104" s="59" t="s">
        <v>8325</v>
      </c>
      <c r="C104" s="58" t="n">
        <v>104</v>
      </c>
      <c r="D104" s="90" t="n">
        <f aca="false">SRC_HW!$O104</f>
        <v>0</v>
      </c>
      <c r="E104" s="90" t="n">
        <f aca="false">SRC_HW!$K104</f>
        <v>0</v>
      </c>
      <c r="F104" s="90" t="n">
        <f aca="false">SRC_HW!$S104</f>
        <v>0</v>
      </c>
    </row>
    <row r="105" customFormat="false" ht="15" hidden="false" customHeight="false" outlineLevel="0" collapsed="false">
      <c r="A105" s="90" t="str">
        <f aca="false">SRC_HW!$A105&amp;""</f>
        <v/>
      </c>
      <c r="B105" s="59" t="s">
        <v>8325</v>
      </c>
      <c r="C105" s="58" t="n">
        <v>105</v>
      </c>
      <c r="D105" s="90" t="n">
        <f aca="false">SRC_HW!$O105</f>
        <v>0</v>
      </c>
      <c r="E105" s="90" t="n">
        <f aca="false">SRC_HW!$K105</f>
        <v>0</v>
      </c>
      <c r="F105" s="90" t="n">
        <f aca="false">SRC_HW!$S105</f>
        <v>0</v>
      </c>
    </row>
    <row r="106" customFormat="false" ht="15" hidden="false" customHeight="false" outlineLevel="0" collapsed="false">
      <c r="A106" s="90" t="str">
        <f aca="false">SRC_HW!$A106&amp;""</f>
        <v/>
      </c>
      <c r="B106" s="59" t="s">
        <v>8325</v>
      </c>
      <c r="C106" s="58" t="n">
        <v>106</v>
      </c>
      <c r="D106" s="90" t="n">
        <f aca="false">SRC_HW!$O106</f>
        <v>0</v>
      </c>
      <c r="E106" s="90" t="n">
        <f aca="false">SRC_HW!$K106</f>
        <v>0</v>
      </c>
      <c r="F106" s="90" t="n">
        <f aca="false">SRC_HW!$S106</f>
        <v>0</v>
      </c>
    </row>
    <row r="107" customFormat="false" ht="15" hidden="false" customHeight="false" outlineLevel="0" collapsed="false">
      <c r="A107" s="90" t="str">
        <f aca="false">SRC_HW!$A107&amp;""</f>
        <v/>
      </c>
      <c r="B107" s="59" t="s">
        <v>8325</v>
      </c>
      <c r="C107" s="58" t="n">
        <v>107</v>
      </c>
      <c r="D107" s="90" t="n">
        <f aca="false">SRC_HW!$O107</f>
        <v>0</v>
      </c>
      <c r="E107" s="90" t="n">
        <f aca="false">SRC_HW!$K107</f>
        <v>0</v>
      </c>
      <c r="F107" s="90" t="n">
        <f aca="false">SRC_HW!$S107</f>
        <v>0</v>
      </c>
    </row>
    <row r="108" customFormat="false" ht="15" hidden="false" customHeight="false" outlineLevel="0" collapsed="false">
      <c r="A108" s="90" t="str">
        <f aca="false">SRC_HW!$A108&amp;""</f>
        <v/>
      </c>
      <c r="B108" s="59" t="s">
        <v>8325</v>
      </c>
      <c r="C108" s="58" t="n">
        <v>108</v>
      </c>
      <c r="D108" s="90" t="n">
        <f aca="false">SRC_HW!$O108</f>
        <v>0</v>
      </c>
      <c r="E108" s="90" t="n">
        <f aca="false">SRC_HW!$K108</f>
        <v>0</v>
      </c>
      <c r="F108" s="90" t="n">
        <f aca="false">SRC_HW!$S108</f>
        <v>0</v>
      </c>
    </row>
    <row r="109" customFormat="false" ht="15" hidden="false" customHeight="false" outlineLevel="0" collapsed="false">
      <c r="A109" s="90" t="str">
        <f aca="false">SRC_HW!$A109&amp;""</f>
        <v/>
      </c>
      <c r="B109" s="59" t="s">
        <v>8325</v>
      </c>
      <c r="C109" s="58" t="n">
        <v>109</v>
      </c>
      <c r="D109" s="90" t="n">
        <f aca="false">SRC_HW!$O109</f>
        <v>0</v>
      </c>
      <c r="E109" s="90" t="n">
        <f aca="false">SRC_HW!$K109</f>
        <v>0</v>
      </c>
      <c r="F109" s="90" t="n">
        <f aca="false">SRC_HW!$S109</f>
        <v>0</v>
      </c>
    </row>
    <row r="110" customFormat="false" ht="15" hidden="false" customHeight="false" outlineLevel="0" collapsed="false">
      <c r="A110" s="90" t="str">
        <f aca="false">SRC_HW!$A110&amp;""</f>
        <v/>
      </c>
      <c r="B110" s="59" t="s">
        <v>8325</v>
      </c>
      <c r="C110" s="58" t="n">
        <v>110</v>
      </c>
      <c r="D110" s="90" t="n">
        <f aca="false">SRC_HW!$O110</f>
        <v>0</v>
      </c>
      <c r="E110" s="90" t="n">
        <f aca="false">SRC_HW!$K110</f>
        <v>0</v>
      </c>
      <c r="F110" s="90" t="n">
        <f aca="false">SRC_HW!$S110</f>
        <v>0</v>
      </c>
    </row>
    <row r="111" customFormat="false" ht="15" hidden="false" customHeight="false" outlineLevel="0" collapsed="false">
      <c r="A111" s="90" t="str">
        <f aca="false">SRC_HW!$A111&amp;""</f>
        <v/>
      </c>
      <c r="B111" s="59" t="s">
        <v>8325</v>
      </c>
      <c r="C111" s="58" t="n">
        <v>111</v>
      </c>
      <c r="D111" s="90" t="n">
        <f aca="false">SRC_HW!$O111</f>
        <v>0</v>
      </c>
      <c r="E111" s="90" t="n">
        <f aca="false">SRC_HW!$K111</f>
        <v>0</v>
      </c>
      <c r="F111" s="90" t="n">
        <f aca="false">SRC_HW!$S111</f>
        <v>0</v>
      </c>
    </row>
    <row r="112" customFormat="false" ht="15" hidden="false" customHeight="false" outlineLevel="0" collapsed="false">
      <c r="A112" s="90" t="str">
        <f aca="false">SRC_HW!$A112&amp;""</f>
        <v/>
      </c>
      <c r="B112" s="59" t="s">
        <v>8325</v>
      </c>
      <c r="C112" s="58" t="n">
        <v>112</v>
      </c>
      <c r="D112" s="90" t="n">
        <f aca="false">SRC_HW!$O112</f>
        <v>0</v>
      </c>
      <c r="E112" s="90" t="n">
        <f aca="false">SRC_HW!$K112</f>
        <v>0</v>
      </c>
      <c r="F112" s="90" t="n">
        <f aca="false">SRC_HW!$S112</f>
        <v>0</v>
      </c>
    </row>
    <row r="113" customFormat="false" ht="15" hidden="false" customHeight="false" outlineLevel="0" collapsed="false">
      <c r="A113" s="90" t="str">
        <f aca="false">SRC_HW!$A113&amp;""</f>
        <v/>
      </c>
      <c r="B113" s="59" t="s">
        <v>8325</v>
      </c>
      <c r="C113" s="58" t="n">
        <v>113</v>
      </c>
      <c r="D113" s="90" t="n">
        <f aca="false">SRC_HW!$O113</f>
        <v>0</v>
      </c>
      <c r="E113" s="90" t="n">
        <f aca="false">SRC_HW!$K113</f>
        <v>0</v>
      </c>
      <c r="F113" s="90" t="n">
        <f aca="false">SRC_HW!$S113</f>
        <v>0</v>
      </c>
    </row>
    <row r="114" customFormat="false" ht="15" hidden="false" customHeight="false" outlineLevel="0" collapsed="false">
      <c r="A114" s="90" t="str">
        <f aca="false">SRC_HW!$A114&amp;""</f>
        <v/>
      </c>
      <c r="B114" s="59" t="s">
        <v>8325</v>
      </c>
      <c r="C114" s="58" t="n">
        <v>114</v>
      </c>
      <c r="D114" s="90" t="n">
        <f aca="false">SRC_HW!$O114</f>
        <v>0</v>
      </c>
      <c r="E114" s="90" t="n">
        <f aca="false">SRC_HW!$K114</f>
        <v>0</v>
      </c>
      <c r="F114" s="90" t="n">
        <f aca="false">SRC_HW!$S114</f>
        <v>0</v>
      </c>
    </row>
    <row r="115" customFormat="false" ht="15" hidden="false" customHeight="false" outlineLevel="0" collapsed="false">
      <c r="A115" s="90" t="str">
        <f aca="false">SRC_HW!$A115&amp;""</f>
        <v/>
      </c>
      <c r="B115" s="59" t="s">
        <v>8325</v>
      </c>
      <c r="C115" s="58" t="n">
        <v>115</v>
      </c>
      <c r="D115" s="90" t="n">
        <f aca="false">SRC_HW!$O115</f>
        <v>0</v>
      </c>
      <c r="E115" s="90" t="n">
        <f aca="false">SRC_HW!$K115</f>
        <v>0</v>
      </c>
      <c r="F115" s="90" t="n">
        <f aca="false">SRC_HW!$S115</f>
        <v>0</v>
      </c>
    </row>
    <row r="116" customFormat="false" ht="15" hidden="false" customHeight="false" outlineLevel="0" collapsed="false">
      <c r="A116" s="90" t="str">
        <f aca="false">SRC_HW!$A116&amp;""</f>
        <v/>
      </c>
      <c r="B116" s="59" t="s">
        <v>8325</v>
      </c>
      <c r="C116" s="58" t="n">
        <v>116</v>
      </c>
      <c r="D116" s="90" t="n">
        <f aca="false">SRC_HW!$O116</f>
        <v>0</v>
      </c>
      <c r="E116" s="90" t="n">
        <f aca="false">SRC_HW!$K116</f>
        <v>0</v>
      </c>
      <c r="F116" s="90" t="n">
        <f aca="false">SRC_HW!$S116</f>
        <v>0</v>
      </c>
    </row>
    <row r="117" customFormat="false" ht="15" hidden="false" customHeight="false" outlineLevel="0" collapsed="false">
      <c r="A117" s="90" t="str">
        <f aca="false">SRC_HW!$A117&amp;""</f>
        <v/>
      </c>
      <c r="B117" s="59" t="s">
        <v>8325</v>
      </c>
      <c r="C117" s="58" t="n">
        <v>117</v>
      </c>
      <c r="D117" s="90" t="n">
        <f aca="false">SRC_HW!$O117</f>
        <v>0</v>
      </c>
      <c r="E117" s="90" t="n">
        <f aca="false">SRC_HW!$K117</f>
        <v>0</v>
      </c>
      <c r="F117" s="90" t="n">
        <f aca="false">SRC_HW!$S117</f>
        <v>0</v>
      </c>
    </row>
    <row r="118" customFormat="false" ht="15" hidden="false" customHeight="false" outlineLevel="0" collapsed="false">
      <c r="A118" s="90" t="str">
        <f aca="false">SRC_HW!$A118&amp;""</f>
        <v/>
      </c>
      <c r="B118" s="59" t="s">
        <v>8325</v>
      </c>
      <c r="C118" s="58" t="n">
        <v>118</v>
      </c>
      <c r="D118" s="90" t="n">
        <f aca="false">SRC_HW!$O118</f>
        <v>0</v>
      </c>
      <c r="E118" s="90" t="n">
        <f aca="false">SRC_HW!$K118</f>
        <v>0</v>
      </c>
      <c r="F118" s="90" t="n">
        <f aca="false">SRC_HW!$S118</f>
        <v>0</v>
      </c>
    </row>
    <row r="119" customFormat="false" ht="15" hidden="false" customHeight="false" outlineLevel="0" collapsed="false">
      <c r="A119" s="90" t="str">
        <f aca="false">SRC_HW!$A119&amp;""</f>
        <v/>
      </c>
      <c r="B119" s="59" t="s">
        <v>8325</v>
      </c>
      <c r="C119" s="58" t="n">
        <v>119</v>
      </c>
      <c r="D119" s="90" t="n">
        <f aca="false">SRC_HW!$O119</f>
        <v>0</v>
      </c>
      <c r="E119" s="90" t="n">
        <f aca="false">SRC_HW!$K119</f>
        <v>0</v>
      </c>
      <c r="F119" s="90" t="n">
        <f aca="false">SRC_HW!$S119</f>
        <v>0</v>
      </c>
    </row>
    <row r="120" customFormat="false" ht="15" hidden="false" customHeight="false" outlineLevel="0" collapsed="false">
      <c r="A120" s="90" t="str">
        <f aca="false">SRC_HW!$A120&amp;""</f>
        <v/>
      </c>
      <c r="B120" s="59" t="s">
        <v>8325</v>
      </c>
      <c r="C120" s="58" t="n">
        <v>120</v>
      </c>
      <c r="D120" s="90" t="n">
        <f aca="false">SRC_HW!$O120</f>
        <v>0</v>
      </c>
      <c r="E120" s="90" t="n">
        <f aca="false">SRC_HW!$K120</f>
        <v>0</v>
      </c>
      <c r="F120" s="90" t="n">
        <f aca="false">SRC_HW!$S120</f>
        <v>0</v>
      </c>
    </row>
    <row r="121" customFormat="false" ht="15" hidden="false" customHeight="false" outlineLevel="0" collapsed="false">
      <c r="A121" s="90" t="str">
        <f aca="false">SRC_DC!$A5&amp;""</f>
        <v>SRC_DC_001</v>
      </c>
      <c r="B121" s="59" t="s">
        <v>8326</v>
      </c>
      <c r="C121" s="58" t="n">
        <v>5</v>
      </c>
      <c r="D121" s="90" t="str">
        <f aca="false">SRC_DC!$O5</f>
        <v>Active</v>
      </c>
      <c r="E121" s="90" t="n">
        <f aca="false">SRC_DC!$K5</f>
        <v>3</v>
      </c>
      <c r="F121" s="90" t="str">
        <f aca="false">SRC_DC!$S5</f>
        <v>—</v>
      </c>
    </row>
    <row r="122" customFormat="false" ht="15" hidden="false" customHeight="false" outlineLevel="0" collapsed="false">
      <c r="A122" s="90" t="str">
        <f aca="false">SRC_DC!$A6&amp;""</f>
        <v>SRC_DC_002</v>
      </c>
      <c r="B122" s="59" t="s">
        <v>8326</v>
      </c>
      <c r="C122" s="58" t="n">
        <v>6</v>
      </c>
      <c r="D122" s="90" t="str">
        <f aca="false">SRC_DC!$O6</f>
        <v>Active</v>
      </c>
      <c r="E122" s="90" t="n">
        <f aca="false">SRC_DC!$K6</f>
        <v>3</v>
      </c>
      <c r="F122" s="90" t="str">
        <f aca="false">SRC_DC!$S6</f>
        <v>—</v>
      </c>
    </row>
    <row r="123" customFormat="false" ht="15" hidden="false" customHeight="false" outlineLevel="0" collapsed="false">
      <c r="A123" s="90" t="str">
        <f aca="false">SRC_DC!$A7&amp;""</f>
        <v>SRC_DC_003</v>
      </c>
      <c r="B123" s="59" t="s">
        <v>8326</v>
      </c>
      <c r="C123" s="58" t="n">
        <v>7</v>
      </c>
      <c r="D123" s="90" t="str">
        <f aca="false">SRC_DC!$O7</f>
        <v>Active</v>
      </c>
      <c r="E123" s="90" t="n">
        <f aca="false">SRC_DC!$K7</f>
        <v>3</v>
      </c>
      <c r="F123" s="90" t="str">
        <f aca="false">SRC_DC!$S7</f>
        <v>—</v>
      </c>
    </row>
    <row r="124" customFormat="false" ht="15" hidden="false" customHeight="false" outlineLevel="0" collapsed="false">
      <c r="A124" s="90" t="str">
        <f aca="false">SRC_DC!$A8&amp;""</f>
        <v>SRC_DC_004</v>
      </c>
      <c r="B124" s="59" t="s">
        <v>8326</v>
      </c>
      <c r="C124" s="58" t="n">
        <v>8</v>
      </c>
      <c r="D124" s="90" t="str">
        <f aca="false">SRC_DC!$O8</f>
        <v>Active</v>
      </c>
      <c r="E124" s="90" t="n">
        <f aca="false">SRC_DC!$K8</f>
        <v>3</v>
      </c>
      <c r="F124" s="90" t="str">
        <f aca="false">SRC_DC!$S8</f>
        <v>—</v>
      </c>
    </row>
    <row r="125" customFormat="false" ht="15" hidden="false" customHeight="false" outlineLevel="0" collapsed="false">
      <c r="A125" s="90" t="str">
        <f aca="false">SRC_DC!$A9&amp;""</f>
        <v>SRC_DC_005</v>
      </c>
      <c r="B125" s="59" t="s">
        <v>8326</v>
      </c>
      <c r="C125" s="58" t="n">
        <v>9</v>
      </c>
      <c r="D125" s="90" t="str">
        <f aca="false">SRC_DC!$O9</f>
        <v>Active</v>
      </c>
      <c r="E125" s="90" t="n">
        <f aca="false">SRC_DC!$K9</f>
        <v>2</v>
      </c>
      <c r="F125" s="90" t="str">
        <f aca="false">SRC_DC!$S9</f>
        <v>—</v>
      </c>
    </row>
    <row r="126" customFormat="false" ht="15" hidden="false" customHeight="false" outlineLevel="0" collapsed="false">
      <c r="A126" s="90" t="str">
        <f aca="false">SRC_DC!$A10&amp;""</f>
        <v>SRC_DC_006</v>
      </c>
      <c r="B126" s="59" t="s">
        <v>8326</v>
      </c>
      <c r="C126" s="58" t="n">
        <v>10</v>
      </c>
      <c r="D126" s="90" t="str">
        <f aca="false">SRC_DC!$O10</f>
        <v>Active</v>
      </c>
      <c r="E126" s="90" t="n">
        <f aca="false">SRC_DC!$K10</f>
        <v>2</v>
      </c>
      <c r="F126" s="90" t="str">
        <f aca="false">SRC_DC!$S10</f>
        <v>—</v>
      </c>
    </row>
    <row r="127" customFormat="false" ht="15" hidden="false" customHeight="false" outlineLevel="0" collapsed="false">
      <c r="A127" s="90" t="str">
        <f aca="false">SRC_DC!$A11&amp;""</f>
        <v>SRC_DC_007</v>
      </c>
      <c r="B127" s="59" t="s">
        <v>8326</v>
      </c>
      <c r="C127" s="58" t="n">
        <v>11</v>
      </c>
      <c r="D127" s="90" t="str">
        <f aca="false">SRC_DC!$O11</f>
        <v>Active</v>
      </c>
      <c r="E127" s="90" t="n">
        <f aca="false">SRC_DC!$K11</f>
        <v>2</v>
      </c>
      <c r="F127" s="90" t="str">
        <f aca="false">SRC_DC!$S11</f>
        <v>—</v>
      </c>
    </row>
    <row r="128" customFormat="false" ht="15" hidden="false" customHeight="false" outlineLevel="0" collapsed="false">
      <c r="A128" s="90" t="str">
        <f aca="false">SRC_DC!$A12&amp;""</f>
        <v>SRC_DC_008</v>
      </c>
      <c r="B128" s="59" t="s">
        <v>8326</v>
      </c>
      <c r="C128" s="58" t="n">
        <v>12</v>
      </c>
      <c r="D128" s="90" t="str">
        <f aca="false">SRC_DC!$O12</f>
        <v>Active</v>
      </c>
      <c r="E128" s="90" t="n">
        <f aca="false">SRC_DC!$K12</f>
        <v>2</v>
      </c>
      <c r="F128" s="90" t="str">
        <f aca="false">SRC_DC!$S12</f>
        <v>—</v>
      </c>
    </row>
    <row r="129" customFormat="false" ht="15" hidden="false" customHeight="false" outlineLevel="0" collapsed="false">
      <c r="A129" s="90" t="str">
        <f aca="false">SRC_DC!$A13&amp;""</f>
        <v>SRC_DC_009</v>
      </c>
      <c r="B129" s="59" t="s">
        <v>8326</v>
      </c>
      <c r="C129" s="58" t="n">
        <v>13</v>
      </c>
      <c r="D129" s="90" t="str">
        <f aca="false">SRC_DC!$O13</f>
        <v>Active</v>
      </c>
      <c r="E129" s="90" t="n">
        <f aca="false">SRC_DC!$K13</f>
        <v>2</v>
      </c>
      <c r="F129" s="90" t="str">
        <f aca="false">SRC_DC!$S13</f>
        <v>—</v>
      </c>
    </row>
    <row r="130" customFormat="false" ht="15" hidden="false" customHeight="false" outlineLevel="0" collapsed="false">
      <c r="A130" s="90" t="str">
        <f aca="false">SRC_DC!$A14&amp;""</f>
        <v>SRC_DC_010</v>
      </c>
      <c r="B130" s="59" t="s">
        <v>8326</v>
      </c>
      <c r="C130" s="58" t="n">
        <v>14</v>
      </c>
      <c r="D130" s="90" t="str">
        <f aca="false">SRC_DC!$O14</f>
        <v>Active</v>
      </c>
      <c r="E130" s="90" t="n">
        <f aca="false">SRC_DC!$K14</f>
        <v>3</v>
      </c>
      <c r="F130" s="90" t="str">
        <f aca="false">SRC_DC!$S14</f>
        <v>—</v>
      </c>
    </row>
    <row r="131" customFormat="false" ht="15" hidden="false" customHeight="false" outlineLevel="0" collapsed="false">
      <c r="A131" s="90" t="str">
        <f aca="false">SRC_DC!$A15&amp;""</f>
        <v>SRC_DC_011</v>
      </c>
      <c r="B131" s="59" t="s">
        <v>8326</v>
      </c>
      <c r="C131" s="58" t="n">
        <v>15</v>
      </c>
      <c r="D131" s="90" t="str">
        <f aca="false">SRC_DC!$O15</f>
        <v>Active</v>
      </c>
      <c r="E131" s="90" t="n">
        <f aca="false">SRC_DC!$K15</f>
        <v>3</v>
      </c>
      <c r="F131" s="90" t="str">
        <f aca="false">SRC_DC!$S15</f>
        <v>—</v>
      </c>
    </row>
    <row r="132" customFormat="false" ht="15" hidden="false" customHeight="false" outlineLevel="0" collapsed="false">
      <c r="A132" s="90" t="str">
        <f aca="false">SRC_DC!$A16&amp;""</f>
        <v>SRC_DC_012</v>
      </c>
      <c r="B132" s="59" t="s">
        <v>8326</v>
      </c>
      <c r="C132" s="58" t="n">
        <v>16</v>
      </c>
      <c r="D132" s="90" t="str">
        <f aca="false">SRC_DC!$O16</f>
        <v>Active</v>
      </c>
      <c r="E132" s="90" t="n">
        <f aca="false">SRC_DC!$K16</f>
        <v>2</v>
      </c>
      <c r="F132" s="90" t="str">
        <f aca="false">SRC_DC!$S16</f>
        <v>—</v>
      </c>
    </row>
    <row r="133" customFormat="false" ht="15" hidden="false" customHeight="false" outlineLevel="0" collapsed="false">
      <c r="A133" s="90" t="str">
        <f aca="false">SRC_DC!$A17&amp;""</f>
        <v>SRC_DC_013</v>
      </c>
      <c r="B133" s="59" t="s">
        <v>8326</v>
      </c>
      <c r="C133" s="58" t="n">
        <v>17</v>
      </c>
      <c r="D133" s="90" t="str">
        <f aca="false">SRC_DC!$O17</f>
        <v>Active</v>
      </c>
      <c r="E133" s="90" t="n">
        <f aca="false">SRC_DC!$K17</f>
        <v>2</v>
      </c>
      <c r="F133" s="90" t="str">
        <f aca="false">SRC_DC!$S17</f>
        <v>—</v>
      </c>
    </row>
    <row r="134" customFormat="false" ht="15" hidden="false" customHeight="false" outlineLevel="0" collapsed="false">
      <c r="A134" s="90" t="str">
        <f aca="false">SRC_DC!$A18&amp;""</f>
        <v>SRC_DC_014</v>
      </c>
      <c r="B134" s="59" t="s">
        <v>8326</v>
      </c>
      <c r="C134" s="58" t="n">
        <v>18</v>
      </c>
      <c r="D134" s="90" t="str">
        <f aca="false">SRC_DC!$O18</f>
        <v>Active</v>
      </c>
      <c r="E134" s="90" t="n">
        <f aca="false">SRC_DC!$K18</f>
        <v>1</v>
      </c>
      <c r="F134" s="90" t="str">
        <f aca="false">SRC_DC!$S18</f>
        <v>—</v>
      </c>
    </row>
    <row r="135" customFormat="false" ht="15" hidden="false" customHeight="false" outlineLevel="0" collapsed="false">
      <c r="A135" s="90" t="str">
        <f aca="false">SRC_DC!$A19&amp;""</f>
        <v>SRC_DC_015</v>
      </c>
      <c r="B135" s="59" t="s">
        <v>8326</v>
      </c>
      <c r="C135" s="58" t="n">
        <v>19</v>
      </c>
      <c r="D135" s="90" t="str">
        <f aca="false">SRC_DC!$O19</f>
        <v>Active</v>
      </c>
      <c r="E135" s="90" t="n">
        <f aca="false">SRC_DC!$K19</f>
        <v>1</v>
      </c>
      <c r="F135" s="90" t="str">
        <f aca="false">SRC_DC!$S19</f>
        <v>—</v>
      </c>
    </row>
    <row r="136" customFormat="false" ht="15" hidden="false" customHeight="false" outlineLevel="0" collapsed="false">
      <c r="A136" s="90" t="str">
        <f aca="false">SRC_DC!$A20&amp;""</f>
        <v>SRC_DC_016</v>
      </c>
      <c r="B136" s="59" t="s">
        <v>8326</v>
      </c>
      <c r="C136" s="58" t="n">
        <v>20</v>
      </c>
      <c r="D136" s="90" t="str">
        <f aca="false">SRC_DC!$O20</f>
        <v>Active</v>
      </c>
      <c r="E136" s="90" t="n">
        <f aca="false">SRC_DC!$K20</f>
        <v>1</v>
      </c>
      <c r="F136" s="90" t="str">
        <f aca="false">SRC_DC!$S20</f>
        <v>—</v>
      </c>
    </row>
    <row r="137" customFormat="false" ht="15" hidden="false" customHeight="false" outlineLevel="0" collapsed="false">
      <c r="A137" s="90" t="str">
        <f aca="false">SRC_DC!$A21&amp;""</f>
        <v>SRC_DC_017</v>
      </c>
      <c r="B137" s="59" t="s">
        <v>8326</v>
      </c>
      <c r="C137" s="58" t="n">
        <v>21</v>
      </c>
      <c r="D137" s="90" t="str">
        <f aca="false">SRC_DC!$O21</f>
        <v>Active</v>
      </c>
      <c r="E137" s="90" t="n">
        <f aca="false">SRC_DC!$K21</f>
        <v>2</v>
      </c>
      <c r="F137" s="90" t="str">
        <f aca="false">SRC_DC!$S21</f>
        <v>—</v>
      </c>
    </row>
    <row r="138" customFormat="false" ht="15" hidden="false" customHeight="false" outlineLevel="0" collapsed="false">
      <c r="A138" s="90" t="str">
        <f aca="false">SRC_DC!$A22&amp;""</f>
        <v/>
      </c>
      <c r="B138" s="59" t="s">
        <v>8326</v>
      </c>
      <c r="C138" s="58" t="n">
        <v>22</v>
      </c>
      <c r="D138" s="90" t="n">
        <f aca="false">SRC_DC!$O22</f>
        <v>0</v>
      </c>
      <c r="E138" s="90" t="n">
        <f aca="false">SRC_DC!$K22</f>
        <v>0</v>
      </c>
      <c r="F138" s="90" t="n">
        <f aca="false">SRC_DC!$S22</f>
        <v>0</v>
      </c>
    </row>
    <row r="139" customFormat="false" ht="15" hidden="false" customHeight="false" outlineLevel="0" collapsed="false">
      <c r="A139" s="90" t="str">
        <f aca="false">SRC_DC!$A23&amp;""</f>
        <v/>
      </c>
      <c r="B139" s="59" t="s">
        <v>8326</v>
      </c>
      <c r="C139" s="58" t="n">
        <v>23</v>
      </c>
      <c r="D139" s="90" t="n">
        <f aca="false">SRC_DC!$O23</f>
        <v>0</v>
      </c>
      <c r="E139" s="90" t="n">
        <f aca="false">SRC_DC!$K23</f>
        <v>0</v>
      </c>
      <c r="F139" s="90" t="n">
        <f aca="false">SRC_DC!$S23</f>
        <v>0</v>
      </c>
    </row>
    <row r="140" customFormat="false" ht="15" hidden="false" customHeight="false" outlineLevel="0" collapsed="false">
      <c r="A140" s="90" t="str">
        <f aca="false">SRC_DC!$A24&amp;""</f>
        <v/>
      </c>
      <c r="B140" s="59" t="s">
        <v>8326</v>
      </c>
      <c r="C140" s="58" t="n">
        <v>24</v>
      </c>
      <c r="D140" s="90" t="n">
        <f aca="false">SRC_DC!$O24</f>
        <v>0</v>
      </c>
      <c r="E140" s="90" t="n">
        <f aca="false">SRC_DC!$K24</f>
        <v>0</v>
      </c>
      <c r="F140" s="90" t="n">
        <f aca="false">SRC_DC!$S24</f>
        <v>0</v>
      </c>
    </row>
    <row r="141" customFormat="false" ht="15" hidden="false" customHeight="false" outlineLevel="0" collapsed="false">
      <c r="A141" s="90" t="str">
        <f aca="false">SRC_DC!$A25&amp;""</f>
        <v/>
      </c>
      <c r="B141" s="59" t="s">
        <v>8326</v>
      </c>
      <c r="C141" s="58" t="n">
        <v>25</v>
      </c>
      <c r="D141" s="90" t="n">
        <f aca="false">SRC_DC!$O25</f>
        <v>0</v>
      </c>
      <c r="E141" s="90" t="n">
        <f aca="false">SRC_DC!$K25</f>
        <v>0</v>
      </c>
      <c r="F141" s="90" t="n">
        <f aca="false">SRC_DC!$S25</f>
        <v>0</v>
      </c>
    </row>
    <row r="142" customFormat="false" ht="15" hidden="false" customHeight="false" outlineLevel="0" collapsed="false">
      <c r="A142" s="90" t="str">
        <f aca="false">SRC_DC!$A26&amp;""</f>
        <v/>
      </c>
      <c r="B142" s="59" t="s">
        <v>8326</v>
      </c>
      <c r="C142" s="58" t="n">
        <v>26</v>
      </c>
      <c r="D142" s="90" t="n">
        <f aca="false">SRC_DC!$O26</f>
        <v>0</v>
      </c>
      <c r="E142" s="90" t="n">
        <f aca="false">SRC_DC!$K26</f>
        <v>0</v>
      </c>
      <c r="F142" s="90" t="n">
        <f aca="false">SRC_DC!$S26</f>
        <v>0</v>
      </c>
    </row>
    <row r="143" customFormat="false" ht="15" hidden="false" customHeight="false" outlineLevel="0" collapsed="false">
      <c r="A143" s="90" t="str">
        <f aca="false">SRC_DC!$A27&amp;""</f>
        <v/>
      </c>
      <c r="B143" s="59" t="s">
        <v>8326</v>
      </c>
      <c r="C143" s="58" t="n">
        <v>27</v>
      </c>
      <c r="D143" s="90" t="n">
        <f aca="false">SRC_DC!$O27</f>
        <v>0</v>
      </c>
      <c r="E143" s="90" t="n">
        <f aca="false">SRC_DC!$K27</f>
        <v>0</v>
      </c>
      <c r="F143" s="90" t="n">
        <f aca="false">SRC_DC!$S27</f>
        <v>0</v>
      </c>
    </row>
    <row r="144" customFormat="false" ht="15" hidden="false" customHeight="false" outlineLevel="0" collapsed="false">
      <c r="A144" s="90" t="str">
        <f aca="false">SRC_DC!$A28&amp;""</f>
        <v/>
      </c>
      <c r="B144" s="59" t="s">
        <v>8326</v>
      </c>
      <c r="C144" s="58" t="n">
        <v>28</v>
      </c>
      <c r="D144" s="90" t="n">
        <f aca="false">SRC_DC!$O28</f>
        <v>0</v>
      </c>
      <c r="E144" s="90" t="n">
        <f aca="false">SRC_DC!$K28</f>
        <v>0</v>
      </c>
      <c r="F144" s="90" t="n">
        <f aca="false">SRC_DC!$S28</f>
        <v>0</v>
      </c>
    </row>
    <row r="145" customFormat="false" ht="15" hidden="false" customHeight="false" outlineLevel="0" collapsed="false">
      <c r="A145" s="90" t="str">
        <f aca="false">SRC_DC!$A29&amp;""</f>
        <v/>
      </c>
      <c r="B145" s="59" t="s">
        <v>8326</v>
      </c>
      <c r="C145" s="58" t="n">
        <v>29</v>
      </c>
      <c r="D145" s="90" t="n">
        <f aca="false">SRC_DC!$O29</f>
        <v>0</v>
      </c>
      <c r="E145" s="90" t="n">
        <f aca="false">SRC_DC!$K29</f>
        <v>0</v>
      </c>
      <c r="F145" s="90" t="n">
        <f aca="false">SRC_DC!$S29</f>
        <v>0</v>
      </c>
    </row>
    <row r="146" customFormat="false" ht="15" hidden="false" customHeight="false" outlineLevel="0" collapsed="false">
      <c r="A146" s="90" t="str">
        <f aca="false">SRC_DC!$A30&amp;""</f>
        <v/>
      </c>
      <c r="B146" s="59" t="s">
        <v>8326</v>
      </c>
      <c r="C146" s="58" t="n">
        <v>30</v>
      </c>
      <c r="D146" s="90" t="n">
        <f aca="false">SRC_DC!$O30</f>
        <v>0</v>
      </c>
      <c r="E146" s="90" t="n">
        <f aca="false">SRC_DC!$K30</f>
        <v>0</v>
      </c>
      <c r="F146" s="90" t="n">
        <f aca="false">SRC_DC!$S30</f>
        <v>0</v>
      </c>
    </row>
    <row r="147" customFormat="false" ht="15" hidden="false" customHeight="false" outlineLevel="0" collapsed="false">
      <c r="A147" s="90" t="str">
        <f aca="false">SRC_DC!$A31&amp;""</f>
        <v/>
      </c>
      <c r="B147" s="59" t="s">
        <v>8326</v>
      </c>
      <c r="C147" s="58" t="n">
        <v>31</v>
      </c>
      <c r="D147" s="90" t="n">
        <f aca="false">SRC_DC!$O31</f>
        <v>0</v>
      </c>
      <c r="E147" s="90" t="n">
        <f aca="false">SRC_DC!$K31</f>
        <v>0</v>
      </c>
      <c r="F147" s="90" t="n">
        <f aca="false">SRC_DC!$S31</f>
        <v>0</v>
      </c>
    </row>
    <row r="148" customFormat="false" ht="15" hidden="false" customHeight="false" outlineLevel="0" collapsed="false">
      <c r="A148" s="90" t="str">
        <f aca="false">SRC_DC!$A32&amp;""</f>
        <v/>
      </c>
      <c r="B148" s="59" t="s">
        <v>8326</v>
      </c>
      <c r="C148" s="58" t="n">
        <v>32</v>
      </c>
      <c r="D148" s="90" t="n">
        <f aca="false">SRC_DC!$O32</f>
        <v>0</v>
      </c>
      <c r="E148" s="90" t="n">
        <f aca="false">SRC_DC!$K32</f>
        <v>0</v>
      </c>
      <c r="F148" s="90" t="n">
        <f aca="false">SRC_DC!$S32</f>
        <v>0</v>
      </c>
    </row>
    <row r="149" customFormat="false" ht="15" hidden="false" customHeight="false" outlineLevel="0" collapsed="false">
      <c r="A149" s="90" t="str">
        <f aca="false">SRC_DC!$A33&amp;""</f>
        <v/>
      </c>
      <c r="B149" s="59" t="s">
        <v>8326</v>
      </c>
      <c r="C149" s="58" t="n">
        <v>33</v>
      </c>
      <c r="D149" s="90" t="n">
        <f aca="false">SRC_DC!$O33</f>
        <v>0</v>
      </c>
      <c r="E149" s="90" t="n">
        <f aca="false">SRC_DC!$K33</f>
        <v>0</v>
      </c>
      <c r="F149" s="90" t="n">
        <f aca="false">SRC_DC!$S33</f>
        <v>0</v>
      </c>
    </row>
    <row r="150" customFormat="false" ht="15" hidden="false" customHeight="false" outlineLevel="0" collapsed="false">
      <c r="A150" s="90" t="str">
        <f aca="false">SRC_DC!$A34&amp;""</f>
        <v/>
      </c>
      <c r="B150" s="59" t="s">
        <v>8326</v>
      </c>
      <c r="C150" s="58" t="n">
        <v>34</v>
      </c>
      <c r="D150" s="90" t="n">
        <f aca="false">SRC_DC!$O34</f>
        <v>0</v>
      </c>
      <c r="E150" s="90" t="n">
        <f aca="false">SRC_DC!$K34</f>
        <v>0</v>
      </c>
      <c r="F150" s="90" t="n">
        <f aca="false">SRC_DC!$S34</f>
        <v>0</v>
      </c>
    </row>
    <row r="151" customFormat="false" ht="15" hidden="false" customHeight="false" outlineLevel="0" collapsed="false">
      <c r="A151" s="90" t="str">
        <f aca="false">SRC_DC!$A35&amp;""</f>
        <v/>
      </c>
      <c r="B151" s="59" t="s">
        <v>8326</v>
      </c>
      <c r="C151" s="58" t="n">
        <v>35</v>
      </c>
      <c r="D151" s="90" t="n">
        <f aca="false">SRC_DC!$O35</f>
        <v>0</v>
      </c>
      <c r="E151" s="90" t="n">
        <f aca="false">SRC_DC!$K35</f>
        <v>0</v>
      </c>
      <c r="F151" s="90" t="n">
        <f aca="false">SRC_DC!$S35</f>
        <v>0</v>
      </c>
    </row>
    <row r="152" customFormat="false" ht="15" hidden="false" customHeight="false" outlineLevel="0" collapsed="false">
      <c r="A152" s="90" t="str">
        <f aca="false">SRC_DC!$A36&amp;""</f>
        <v/>
      </c>
      <c r="B152" s="59" t="s">
        <v>8326</v>
      </c>
      <c r="C152" s="58" t="n">
        <v>36</v>
      </c>
      <c r="D152" s="90" t="n">
        <f aca="false">SRC_DC!$O36</f>
        <v>0</v>
      </c>
      <c r="E152" s="90" t="n">
        <f aca="false">SRC_DC!$K36</f>
        <v>0</v>
      </c>
      <c r="F152" s="90" t="n">
        <f aca="false">SRC_DC!$S36</f>
        <v>0</v>
      </c>
    </row>
    <row r="153" customFormat="false" ht="15" hidden="false" customHeight="false" outlineLevel="0" collapsed="false">
      <c r="A153" s="90" t="str">
        <f aca="false">SRC_DC!$A37&amp;""</f>
        <v/>
      </c>
      <c r="B153" s="59" t="s">
        <v>8326</v>
      </c>
      <c r="C153" s="58" t="n">
        <v>37</v>
      </c>
      <c r="D153" s="90" t="n">
        <f aca="false">SRC_DC!$O37</f>
        <v>0</v>
      </c>
      <c r="E153" s="90" t="n">
        <f aca="false">SRC_DC!$K37</f>
        <v>0</v>
      </c>
      <c r="F153" s="90" t="n">
        <f aca="false">SRC_DC!$S37</f>
        <v>0</v>
      </c>
    </row>
    <row r="154" customFormat="false" ht="15" hidden="false" customHeight="false" outlineLevel="0" collapsed="false">
      <c r="A154" s="90" t="str">
        <f aca="false">SRC_DC!$A38&amp;""</f>
        <v/>
      </c>
      <c r="B154" s="59" t="s">
        <v>8326</v>
      </c>
      <c r="C154" s="58" t="n">
        <v>38</v>
      </c>
      <c r="D154" s="90" t="n">
        <f aca="false">SRC_DC!$O38</f>
        <v>0</v>
      </c>
      <c r="E154" s="90" t="n">
        <f aca="false">SRC_DC!$K38</f>
        <v>0</v>
      </c>
      <c r="F154" s="90" t="n">
        <f aca="false">SRC_DC!$S38</f>
        <v>0</v>
      </c>
    </row>
    <row r="155" customFormat="false" ht="15" hidden="false" customHeight="false" outlineLevel="0" collapsed="false">
      <c r="A155" s="90" t="str">
        <f aca="false">SRC_DC!$A39&amp;""</f>
        <v/>
      </c>
      <c r="B155" s="59" t="s">
        <v>8326</v>
      </c>
      <c r="C155" s="58" t="n">
        <v>39</v>
      </c>
      <c r="D155" s="90" t="n">
        <f aca="false">SRC_DC!$O39</f>
        <v>0</v>
      </c>
      <c r="E155" s="90" t="n">
        <f aca="false">SRC_DC!$K39</f>
        <v>0</v>
      </c>
      <c r="F155" s="90" t="n">
        <f aca="false">SRC_DC!$S39</f>
        <v>0</v>
      </c>
    </row>
    <row r="156" customFormat="false" ht="15" hidden="false" customHeight="false" outlineLevel="0" collapsed="false">
      <c r="A156" s="90" t="str">
        <f aca="false">SRC_DC!$A40&amp;""</f>
        <v/>
      </c>
      <c r="B156" s="59" t="s">
        <v>8326</v>
      </c>
      <c r="C156" s="58" t="n">
        <v>40</v>
      </c>
      <c r="D156" s="90" t="n">
        <f aca="false">SRC_DC!$O40</f>
        <v>0</v>
      </c>
      <c r="E156" s="90" t="n">
        <f aca="false">SRC_DC!$K40</f>
        <v>0</v>
      </c>
      <c r="F156" s="90" t="n">
        <f aca="false">SRC_DC!$S40</f>
        <v>0</v>
      </c>
    </row>
    <row r="157" customFormat="false" ht="15" hidden="false" customHeight="false" outlineLevel="0" collapsed="false">
      <c r="A157" s="90" t="str">
        <f aca="false">SRC_DC!$A41&amp;""</f>
        <v/>
      </c>
      <c r="B157" s="59" t="s">
        <v>8326</v>
      </c>
      <c r="C157" s="58" t="n">
        <v>41</v>
      </c>
      <c r="D157" s="90" t="n">
        <f aca="false">SRC_DC!$O41</f>
        <v>0</v>
      </c>
      <c r="E157" s="90" t="n">
        <f aca="false">SRC_DC!$K41</f>
        <v>0</v>
      </c>
      <c r="F157" s="90" t="n">
        <f aca="false">SRC_DC!$S41</f>
        <v>0</v>
      </c>
    </row>
    <row r="158" customFormat="false" ht="15" hidden="false" customHeight="false" outlineLevel="0" collapsed="false">
      <c r="A158" s="90" t="str">
        <f aca="false">SRC_DC!$A42&amp;""</f>
        <v/>
      </c>
      <c r="B158" s="59" t="s">
        <v>8326</v>
      </c>
      <c r="C158" s="58" t="n">
        <v>42</v>
      </c>
      <c r="D158" s="90" t="n">
        <f aca="false">SRC_DC!$O42</f>
        <v>0</v>
      </c>
      <c r="E158" s="90" t="n">
        <f aca="false">SRC_DC!$K42</f>
        <v>0</v>
      </c>
      <c r="F158" s="90" t="n">
        <f aca="false">SRC_DC!$S42</f>
        <v>0</v>
      </c>
    </row>
    <row r="159" customFormat="false" ht="15" hidden="false" customHeight="false" outlineLevel="0" collapsed="false">
      <c r="A159" s="90" t="str">
        <f aca="false">SRC_DC!$A43&amp;""</f>
        <v/>
      </c>
      <c r="B159" s="59" t="s">
        <v>8326</v>
      </c>
      <c r="C159" s="58" t="n">
        <v>43</v>
      </c>
      <c r="D159" s="90" t="n">
        <f aca="false">SRC_DC!$O43</f>
        <v>0</v>
      </c>
      <c r="E159" s="90" t="n">
        <f aca="false">SRC_DC!$K43</f>
        <v>0</v>
      </c>
      <c r="F159" s="90" t="n">
        <f aca="false">SRC_DC!$S43</f>
        <v>0</v>
      </c>
    </row>
    <row r="160" customFormat="false" ht="15" hidden="false" customHeight="false" outlineLevel="0" collapsed="false">
      <c r="A160" s="90" t="str">
        <f aca="false">SRC_DC!$A44&amp;""</f>
        <v/>
      </c>
      <c r="B160" s="59" t="s">
        <v>8326</v>
      </c>
      <c r="C160" s="58" t="n">
        <v>44</v>
      </c>
      <c r="D160" s="90" t="n">
        <f aca="false">SRC_DC!$O44</f>
        <v>0</v>
      </c>
      <c r="E160" s="90" t="n">
        <f aca="false">SRC_DC!$K44</f>
        <v>0</v>
      </c>
      <c r="F160" s="90" t="n">
        <f aca="false">SRC_DC!$S44</f>
        <v>0</v>
      </c>
    </row>
    <row r="161" customFormat="false" ht="15" hidden="false" customHeight="false" outlineLevel="0" collapsed="false">
      <c r="A161" s="90" t="str">
        <f aca="false">SRC_DC!$A45&amp;""</f>
        <v/>
      </c>
      <c r="B161" s="59" t="s">
        <v>8326</v>
      </c>
      <c r="C161" s="58" t="n">
        <v>45</v>
      </c>
      <c r="D161" s="90" t="n">
        <f aca="false">SRC_DC!$O45</f>
        <v>0</v>
      </c>
      <c r="E161" s="90" t="n">
        <f aca="false">SRC_DC!$K45</f>
        <v>0</v>
      </c>
      <c r="F161" s="90" t="n">
        <f aca="false">SRC_DC!$S45</f>
        <v>0</v>
      </c>
    </row>
    <row r="162" customFormat="false" ht="15" hidden="false" customHeight="false" outlineLevel="0" collapsed="false">
      <c r="A162" s="90" t="str">
        <f aca="false">SRC_DC!$A46&amp;""</f>
        <v/>
      </c>
      <c r="B162" s="59" t="s">
        <v>8326</v>
      </c>
      <c r="C162" s="58" t="n">
        <v>46</v>
      </c>
      <c r="D162" s="90" t="n">
        <f aca="false">SRC_DC!$O46</f>
        <v>0</v>
      </c>
      <c r="E162" s="90" t="n">
        <f aca="false">SRC_DC!$K46</f>
        <v>0</v>
      </c>
      <c r="F162" s="90" t="n">
        <f aca="false">SRC_DC!$S46</f>
        <v>0</v>
      </c>
    </row>
    <row r="163" customFormat="false" ht="15" hidden="false" customHeight="false" outlineLevel="0" collapsed="false">
      <c r="A163" s="90" t="str">
        <f aca="false">SRC_DC!$A47&amp;""</f>
        <v/>
      </c>
      <c r="B163" s="59" t="s">
        <v>8326</v>
      </c>
      <c r="C163" s="58" t="n">
        <v>47</v>
      </c>
      <c r="D163" s="90" t="n">
        <f aca="false">SRC_DC!$O47</f>
        <v>0</v>
      </c>
      <c r="E163" s="90" t="n">
        <f aca="false">SRC_DC!$K47</f>
        <v>0</v>
      </c>
      <c r="F163" s="90" t="n">
        <f aca="false">SRC_DC!$S47</f>
        <v>0</v>
      </c>
    </row>
    <row r="164" customFormat="false" ht="15" hidden="false" customHeight="false" outlineLevel="0" collapsed="false">
      <c r="A164" s="90" t="str">
        <f aca="false">SRC_DC!$A48&amp;""</f>
        <v/>
      </c>
      <c r="B164" s="59" t="s">
        <v>8326</v>
      </c>
      <c r="C164" s="58" t="n">
        <v>48</v>
      </c>
      <c r="D164" s="90" t="n">
        <f aca="false">SRC_DC!$O48</f>
        <v>0</v>
      </c>
      <c r="E164" s="90" t="n">
        <f aca="false">SRC_DC!$K48</f>
        <v>0</v>
      </c>
      <c r="F164" s="90" t="n">
        <f aca="false">SRC_DC!$S48</f>
        <v>0</v>
      </c>
    </row>
    <row r="165" customFormat="false" ht="15" hidden="false" customHeight="false" outlineLevel="0" collapsed="false">
      <c r="A165" s="90" t="str">
        <f aca="false">SRC_DC!$A49&amp;""</f>
        <v/>
      </c>
      <c r="B165" s="59" t="s">
        <v>8326</v>
      </c>
      <c r="C165" s="58" t="n">
        <v>49</v>
      </c>
      <c r="D165" s="90" t="n">
        <f aca="false">SRC_DC!$O49</f>
        <v>0</v>
      </c>
      <c r="E165" s="90" t="n">
        <f aca="false">SRC_DC!$K49</f>
        <v>0</v>
      </c>
      <c r="F165" s="90" t="n">
        <f aca="false">SRC_DC!$S49</f>
        <v>0</v>
      </c>
    </row>
    <row r="166" customFormat="false" ht="15" hidden="false" customHeight="false" outlineLevel="0" collapsed="false">
      <c r="A166" s="90" t="str">
        <f aca="false">SRC_DC!$A50&amp;""</f>
        <v/>
      </c>
      <c r="B166" s="59" t="s">
        <v>8326</v>
      </c>
      <c r="C166" s="58" t="n">
        <v>50</v>
      </c>
      <c r="D166" s="90" t="n">
        <f aca="false">SRC_DC!$O50</f>
        <v>0</v>
      </c>
      <c r="E166" s="90" t="n">
        <f aca="false">SRC_DC!$K50</f>
        <v>0</v>
      </c>
      <c r="F166" s="90" t="n">
        <f aca="false">SRC_DC!$S50</f>
        <v>0</v>
      </c>
    </row>
    <row r="167" customFormat="false" ht="15" hidden="false" customHeight="false" outlineLevel="0" collapsed="false">
      <c r="A167" s="90" t="str">
        <f aca="false">SRC_DC!$A51&amp;""</f>
        <v/>
      </c>
      <c r="B167" s="59" t="s">
        <v>8326</v>
      </c>
      <c r="C167" s="58" t="n">
        <v>51</v>
      </c>
      <c r="D167" s="90" t="n">
        <f aca="false">SRC_DC!$O51</f>
        <v>0</v>
      </c>
      <c r="E167" s="90" t="n">
        <f aca="false">SRC_DC!$K51</f>
        <v>0</v>
      </c>
      <c r="F167" s="90" t="n">
        <f aca="false">SRC_DC!$S51</f>
        <v>0</v>
      </c>
    </row>
    <row r="168" customFormat="false" ht="15" hidden="false" customHeight="false" outlineLevel="0" collapsed="false">
      <c r="A168" s="90" t="str">
        <f aca="false">SRC_DC!$A52&amp;""</f>
        <v/>
      </c>
      <c r="B168" s="59" t="s">
        <v>8326</v>
      </c>
      <c r="C168" s="58" t="n">
        <v>52</v>
      </c>
      <c r="D168" s="90" t="n">
        <f aca="false">SRC_DC!$O52</f>
        <v>0</v>
      </c>
      <c r="E168" s="90" t="n">
        <f aca="false">SRC_DC!$K52</f>
        <v>0</v>
      </c>
      <c r="F168" s="90" t="n">
        <f aca="false">SRC_DC!$S52</f>
        <v>0</v>
      </c>
    </row>
    <row r="169" customFormat="false" ht="15" hidden="false" customHeight="false" outlineLevel="0" collapsed="false">
      <c r="A169" s="90" t="str">
        <f aca="false">SRC_DC!$A53&amp;""</f>
        <v/>
      </c>
      <c r="B169" s="59" t="s">
        <v>8326</v>
      </c>
      <c r="C169" s="58" t="n">
        <v>53</v>
      </c>
      <c r="D169" s="90" t="n">
        <f aca="false">SRC_DC!$O53</f>
        <v>0</v>
      </c>
      <c r="E169" s="90" t="n">
        <f aca="false">SRC_DC!$K53</f>
        <v>0</v>
      </c>
      <c r="F169" s="90" t="n">
        <f aca="false">SRC_DC!$S53</f>
        <v>0</v>
      </c>
    </row>
    <row r="170" customFormat="false" ht="15" hidden="false" customHeight="false" outlineLevel="0" collapsed="false">
      <c r="A170" s="90" t="str">
        <f aca="false">SRC_DC!$A54&amp;""</f>
        <v/>
      </c>
      <c r="B170" s="59" t="s">
        <v>8326</v>
      </c>
      <c r="C170" s="58" t="n">
        <v>54</v>
      </c>
      <c r="D170" s="90" t="n">
        <f aca="false">SRC_DC!$O54</f>
        <v>0</v>
      </c>
      <c r="E170" s="90" t="n">
        <f aca="false">SRC_DC!$K54</f>
        <v>0</v>
      </c>
      <c r="F170" s="90" t="n">
        <f aca="false">SRC_DC!$S54</f>
        <v>0</v>
      </c>
    </row>
    <row r="171" customFormat="false" ht="15" hidden="false" customHeight="false" outlineLevel="0" collapsed="false">
      <c r="A171" s="90" t="str">
        <f aca="false">SRC_DC!$A55&amp;""</f>
        <v/>
      </c>
      <c r="B171" s="59" t="s">
        <v>8326</v>
      </c>
      <c r="C171" s="58" t="n">
        <v>55</v>
      </c>
      <c r="D171" s="90" t="n">
        <f aca="false">SRC_DC!$O55</f>
        <v>0</v>
      </c>
      <c r="E171" s="90" t="n">
        <f aca="false">SRC_DC!$K55</f>
        <v>0</v>
      </c>
      <c r="F171" s="90" t="n">
        <f aca="false">SRC_DC!$S55</f>
        <v>0</v>
      </c>
    </row>
    <row r="172" customFormat="false" ht="15" hidden="false" customHeight="false" outlineLevel="0" collapsed="false">
      <c r="A172" s="90" t="str">
        <f aca="false">SRC_DC!$A56&amp;""</f>
        <v/>
      </c>
      <c r="B172" s="59" t="s">
        <v>8326</v>
      </c>
      <c r="C172" s="58" t="n">
        <v>56</v>
      </c>
      <c r="D172" s="90" t="n">
        <f aca="false">SRC_DC!$O56</f>
        <v>0</v>
      </c>
      <c r="E172" s="90" t="n">
        <f aca="false">SRC_DC!$K56</f>
        <v>0</v>
      </c>
      <c r="F172" s="90" t="n">
        <f aca="false">SRC_DC!$S56</f>
        <v>0</v>
      </c>
    </row>
    <row r="173" customFormat="false" ht="15" hidden="false" customHeight="false" outlineLevel="0" collapsed="false">
      <c r="A173" s="90" t="str">
        <f aca="false">SRC_DC!$A57&amp;""</f>
        <v/>
      </c>
      <c r="B173" s="59" t="s">
        <v>8326</v>
      </c>
      <c r="C173" s="58" t="n">
        <v>57</v>
      </c>
      <c r="D173" s="90" t="n">
        <f aca="false">SRC_DC!$O57</f>
        <v>0</v>
      </c>
      <c r="E173" s="90" t="n">
        <f aca="false">SRC_DC!$K57</f>
        <v>0</v>
      </c>
      <c r="F173" s="90" t="n">
        <f aca="false">SRC_DC!$S57</f>
        <v>0</v>
      </c>
    </row>
    <row r="174" customFormat="false" ht="15" hidden="false" customHeight="false" outlineLevel="0" collapsed="false">
      <c r="A174" s="90" t="str">
        <f aca="false">SRC_DC!$A58&amp;""</f>
        <v/>
      </c>
      <c r="B174" s="59" t="s">
        <v>8326</v>
      </c>
      <c r="C174" s="58" t="n">
        <v>58</v>
      </c>
      <c r="D174" s="90" t="n">
        <f aca="false">SRC_DC!$O58</f>
        <v>0</v>
      </c>
      <c r="E174" s="90" t="n">
        <f aca="false">SRC_DC!$K58</f>
        <v>0</v>
      </c>
      <c r="F174" s="90" t="n">
        <f aca="false">SRC_DC!$S58</f>
        <v>0</v>
      </c>
    </row>
    <row r="175" customFormat="false" ht="15" hidden="false" customHeight="false" outlineLevel="0" collapsed="false">
      <c r="A175" s="90" t="str">
        <f aca="false">SRC_DC!$A59&amp;""</f>
        <v/>
      </c>
      <c r="B175" s="59" t="s">
        <v>8326</v>
      </c>
      <c r="C175" s="58" t="n">
        <v>59</v>
      </c>
      <c r="D175" s="90" t="n">
        <f aca="false">SRC_DC!$O59</f>
        <v>0</v>
      </c>
      <c r="E175" s="90" t="n">
        <f aca="false">SRC_DC!$K59</f>
        <v>0</v>
      </c>
      <c r="F175" s="90" t="n">
        <f aca="false">SRC_DC!$S59</f>
        <v>0</v>
      </c>
    </row>
    <row r="176" customFormat="false" ht="15" hidden="false" customHeight="false" outlineLevel="0" collapsed="false">
      <c r="A176" s="90" t="str">
        <f aca="false">SRC_DC!$A60&amp;""</f>
        <v/>
      </c>
      <c r="B176" s="59" t="s">
        <v>8326</v>
      </c>
      <c r="C176" s="58" t="n">
        <v>60</v>
      </c>
      <c r="D176" s="90" t="n">
        <f aca="false">SRC_DC!$O60</f>
        <v>0</v>
      </c>
      <c r="E176" s="90" t="n">
        <f aca="false">SRC_DC!$K60</f>
        <v>0</v>
      </c>
      <c r="F176" s="90" t="n">
        <f aca="false">SRC_DC!$S60</f>
        <v>0</v>
      </c>
    </row>
    <row r="177" customFormat="false" ht="15" hidden="false" customHeight="false" outlineLevel="0" collapsed="false">
      <c r="A177" s="90" t="str">
        <f aca="false">SRC_DC!$A61&amp;""</f>
        <v/>
      </c>
      <c r="B177" s="59" t="s">
        <v>8326</v>
      </c>
      <c r="C177" s="58" t="n">
        <v>61</v>
      </c>
      <c r="D177" s="90" t="n">
        <f aca="false">SRC_DC!$O61</f>
        <v>0</v>
      </c>
      <c r="E177" s="90" t="n">
        <f aca="false">SRC_DC!$K61</f>
        <v>0</v>
      </c>
      <c r="F177" s="90" t="n">
        <f aca="false">SRC_DC!$S61</f>
        <v>0</v>
      </c>
    </row>
    <row r="178" customFormat="false" ht="15" hidden="false" customHeight="false" outlineLevel="0" collapsed="false">
      <c r="A178" s="90" t="str">
        <f aca="false">SRC_DC!$A62&amp;""</f>
        <v/>
      </c>
      <c r="B178" s="59" t="s">
        <v>8326</v>
      </c>
      <c r="C178" s="58" t="n">
        <v>62</v>
      </c>
      <c r="D178" s="90" t="n">
        <f aca="false">SRC_DC!$O62</f>
        <v>0</v>
      </c>
      <c r="E178" s="90" t="n">
        <f aca="false">SRC_DC!$K62</f>
        <v>0</v>
      </c>
      <c r="F178" s="90" t="n">
        <f aca="false">SRC_DC!$S62</f>
        <v>0</v>
      </c>
    </row>
    <row r="179" customFormat="false" ht="15" hidden="false" customHeight="false" outlineLevel="0" collapsed="false">
      <c r="A179" s="90" t="str">
        <f aca="false">SRC_DC!$A63&amp;""</f>
        <v/>
      </c>
      <c r="B179" s="59" t="s">
        <v>8326</v>
      </c>
      <c r="C179" s="58" t="n">
        <v>63</v>
      </c>
      <c r="D179" s="90" t="n">
        <f aca="false">SRC_DC!$O63</f>
        <v>0</v>
      </c>
      <c r="E179" s="90" t="n">
        <f aca="false">SRC_DC!$K63</f>
        <v>0</v>
      </c>
      <c r="F179" s="90" t="n">
        <f aca="false">SRC_DC!$S63</f>
        <v>0</v>
      </c>
    </row>
    <row r="180" customFormat="false" ht="15" hidden="false" customHeight="false" outlineLevel="0" collapsed="false">
      <c r="A180" s="90" t="str">
        <f aca="false">SRC_DC!$A64&amp;""</f>
        <v/>
      </c>
      <c r="B180" s="59" t="s">
        <v>8326</v>
      </c>
      <c r="C180" s="58" t="n">
        <v>64</v>
      </c>
      <c r="D180" s="90" t="n">
        <f aca="false">SRC_DC!$O64</f>
        <v>0</v>
      </c>
      <c r="E180" s="90" t="n">
        <f aca="false">SRC_DC!$K64</f>
        <v>0</v>
      </c>
      <c r="F180" s="90" t="n">
        <f aca="false">SRC_DC!$S64</f>
        <v>0</v>
      </c>
    </row>
    <row r="181" customFormat="false" ht="15" hidden="false" customHeight="false" outlineLevel="0" collapsed="false">
      <c r="A181" s="90" t="str">
        <f aca="false">SRC_DC!$A65&amp;""</f>
        <v/>
      </c>
      <c r="B181" s="59" t="s">
        <v>8326</v>
      </c>
      <c r="C181" s="58" t="n">
        <v>65</v>
      </c>
      <c r="D181" s="90" t="n">
        <f aca="false">SRC_DC!$O65</f>
        <v>0</v>
      </c>
      <c r="E181" s="90" t="n">
        <f aca="false">SRC_DC!$K65</f>
        <v>0</v>
      </c>
      <c r="F181" s="90" t="n">
        <f aca="false">SRC_DC!$S65</f>
        <v>0</v>
      </c>
    </row>
    <row r="182" customFormat="false" ht="15" hidden="false" customHeight="false" outlineLevel="0" collapsed="false">
      <c r="A182" s="90" t="str">
        <f aca="false">SRC_DC!$A66&amp;""</f>
        <v/>
      </c>
      <c r="B182" s="59" t="s">
        <v>8326</v>
      </c>
      <c r="C182" s="58" t="n">
        <v>66</v>
      </c>
      <c r="D182" s="90" t="n">
        <f aca="false">SRC_DC!$O66</f>
        <v>0</v>
      </c>
      <c r="E182" s="90" t="n">
        <f aca="false">SRC_DC!$K66</f>
        <v>0</v>
      </c>
      <c r="F182" s="90" t="n">
        <f aca="false">SRC_DC!$S66</f>
        <v>0</v>
      </c>
    </row>
    <row r="183" customFormat="false" ht="15" hidden="false" customHeight="false" outlineLevel="0" collapsed="false">
      <c r="A183" s="90" t="str">
        <f aca="false">SRC_DC!$A67&amp;""</f>
        <v/>
      </c>
      <c r="B183" s="59" t="s">
        <v>8326</v>
      </c>
      <c r="C183" s="58" t="n">
        <v>67</v>
      </c>
      <c r="D183" s="90" t="n">
        <f aca="false">SRC_DC!$O67</f>
        <v>0</v>
      </c>
      <c r="E183" s="90" t="n">
        <f aca="false">SRC_DC!$K67</f>
        <v>0</v>
      </c>
      <c r="F183" s="90" t="n">
        <f aca="false">SRC_DC!$S67</f>
        <v>0</v>
      </c>
    </row>
    <row r="184" customFormat="false" ht="15" hidden="false" customHeight="false" outlineLevel="0" collapsed="false">
      <c r="A184" s="90" t="str">
        <f aca="false">SRC_DC!$A68&amp;""</f>
        <v/>
      </c>
      <c r="B184" s="59" t="s">
        <v>8326</v>
      </c>
      <c r="C184" s="58" t="n">
        <v>68</v>
      </c>
      <c r="D184" s="90" t="n">
        <f aca="false">SRC_DC!$O68</f>
        <v>0</v>
      </c>
      <c r="E184" s="90" t="n">
        <f aca="false">SRC_DC!$K68</f>
        <v>0</v>
      </c>
      <c r="F184" s="90" t="n">
        <f aca="false">SRC_DC!$S68</f>
        <v>0</v>
      </c>
    </row>
    <row r="185" customFormat="false" ht="15" hidden="false" customHeight="false" outlineLevel="0" collapsed="false">
      <c r="A185" s="90" t="str">
        <f aca="false">SRC_DC!$A69&amp;""</f>
        <v/>
      </c>
      <c r="B185" s="59" t="s">
        <v>8326</v>
      </c>
      <c r="C185" s="58" t="n">
        <v>69</v>
      </c>
      <c r="D185" s="90" t="n">
        <f aca="false">SRC_DC!$O69</f>
        <v>0</v>
      </c>
      <c r="E185" s="90" t="n">
        <f aca="false">SRC_DC!$K69</f>
        <v>0</v>
      </c>
      <c r="F185" s="90" t="n">
        <f aca="false">SRC_DC!$S69</f>
        <v>0</v>
      </c>
    </row>
    <row r="186" customFormat="false" ht="15" hidden="false" customHeight="false" outlineLevel="0" collapsed="false">
      <c r="A186" s="90" t="str">
        <f aca="false">SRC_DC!$A70&amp;""</f>
        <v/>
      </c>
      <c r="B186" s="59" t="s">
        <v>8326</v>
      </c>
      <c r="C186" s="58" t="n">
        <v>70</v>
      </c>
      <c r="D186" s="90" t="n">
        <f aca="false">SRC_DC!$O70</f>
        <v>0</v>
      </c>
      <c r="E186" s="90" t="n">
        <f aca="false">SRC_DC!$K70</f>
        <v>0</v>
      </c>
      <c r="F186" s="90" t="n">
        <f aca="false">SRC_DC!$S70</f>
        <v>0</v>
      </c>
    </row>
    <row r="187" customFormat="false" ht="15" hidden="false" customHeight="false" outlineLevel="0" collapsed="false">
      <c r="A187" s="90" t="str">
        <f aca="false">SRC_DC!$A71&amp;""</f>
        <v/>
      </c>
      <c r="B187" s="59" t="s">
        <v>8326</v>
      </c>
      <c r="C187" s="58" t="n">
        <v>71</v>
      </c>
      <c r="D187" s="90" t="n">
        <f aca="false">SRC_DC!$O71</f>
        <v>0</v>
      </c>
      <c r="E187" s="90" t="n">
        <f aca="false">SRC_DC!$K71</f>
        <v>0</v>
      </c>
      <c r="F187" s="90" t="n">
        <f aca="false">SRC_DC!$S71</f>
        <v>0</v>
      </c>
    </row>
    <row r="188" customFormat="false" ht="15" hidden="false" customHeight="false" outlineLevel="0" collapsed="false">
      <c r="A188" s="90" t="str">
        <f aca="false">SRC_Model!$A5&amp;""</f>
        <v>SRC_MOD_001</v>
      </c>
      <c r="B188" s="59" t="s">
        <v>8327</v>
      </c>
      <c r="C188" s="58" t="n">
        <v>5</v>
      </c>
      <c r="D188" s="90" t="str">
        <f aca="false">SRC_Model!$O5</f>
        <v>Active</v>
      </c>
      <c r="E188" s="90" t="n">
        <f aca="false">SRC_Model!$K5</f>
        <v>3</v>
      </c>
      <c r="F188" s="90" t="str">
        <f aca="false">SRC_Model!$S5</f>
        <v>—</v>
      </c>
    </row>
    <row r="189" customFormat="false" ht="15" hidden="false" customHeight="false" outlineLevel="0" collapsed="false">
      <c r="A189" s="90" t="str">
        <f aca="false">SRC_Model!$A6&amp;""</f>
        <v>SRC_MOD_002</v>
      </c>
      <c r="B189" s="59" t="s">
        <v>8327</v>
      </c>
      <c r="C189" s="58" t="n">
        <v>6</v>
      </c>
      <c r="D189" s="90" t="str">
        <f aca="false">SRC_Model!$O6</f>
        <v>Active</v>
      </c>
      <c r="E189" s="90" t="n">
        <f aca="false">SRC_Model!$K6</f>
        <v>1</v>
      </c>
      <c r="F189" s="90" t="str">
        <f aca="false">SRC_Model!$S6</f>
        <v>2026-10-05</v>
      </c>
    </row>
    <row r="190" customFormat="false" ht="15" hidden="false" customHeight="false" outlineLevel="0" collapsed="false">
      <c r="A190" s="90" t="str">
        <f aca="false">SRC_Model!$A7&amp;""</f>
        <v>SRC_MOD_003</v>
      </c>
      <c r="B190" s="59" t="s">
        <v>8327</v>
      </c>
      <c r="C190" s="58" t="n">
        <v>7</v>
      </c>
      <c r="D190" s="90" t="str">
        <f aca="false">SRC_Model!$O7</f>
        <v>Active</v>
      </c>
      <c r="E190" s="90" t="n">
        <f aca="false">SRC_Model!$K7</f>
        <v>3</v>
      </c>
      <c r="F190" s="90" t="str">
        <f aca="false">SRC_Model!$S7</f>
        <v>—</v>
      </c>
    </row>
    <row r="191" customFormat="false" ht="15" hidden="false" customHeight="false" outlineLevel="0" collapsed="false">
      <c r="A191" s="90" t="str">
        <f aca="false">SRC_Model!$A8&amp;""</f>
        <v>SRC_MOD_004</v>
      </c>
      <c r="B191" s="59" t="s">
        <v>8327</v>
      </c>
      <c r="C191" s="58" t="n">
        <v>8</v>
      </c>
      <c r="D191" s="90" t="str">
        <f aca="false">SRC_Model!$O8</f>
        <v>Active</v>
      </c>
      <c r="E191" s="90" t="n">
        <f aca="false">SRC_Model!$K8</f>
        <v>3</v>
      </c>
      <c r="F191" s="90" t="str">
        <f aca="false">SRC_Model!$S8</f>
        <v>—</v>
      </c>
    </row>
    <row r="192" customFormat="false" ht="15" hidden="false" customHeight="false" outlineLevel="0" collapsed="false">
      <c r="A192" s="90" t="str">
        <f aca="false">SRC_Model!$A9&amp;""</f>
        <v>SRC_MOD_005</v>
      </c>
      <c r="B192" s="59" t="s">
        <v>8327</v>
      </c>
      <c r="C192" s="58" t="n">
        <v>9</v>
      </c>
      <c r="D192" s="90" t="str">
        <f aca="false">SRC_Model!$O9</f>
        <v>Active</v>
      </c>
      <c r="E192" s="90" t="n">
        <f aca="false">SRC_Model!$K9</f>
        <v>3</v>
      </c>
      <c r="F192" s="90" t="str">
        <f aca="false">SRC_Model!$S9</f>
        <v>—</v>
      </c>
    </row>
    <row r="193" customFormat="false" ht="15" hidden="false" customHeight="false" outlineLevel="0" collapsed="false">
      <c r="A193" s="90" t="str">
        <f aca="false">SRC_Model!$A10&amp;""</f>
        <v>SRC_MOD_006</v>
      </c>
      <c r="B193" s="59" t="s">
        <v>8327</v>
      </c>
      <c r="C193" s="58" t="n">
        <v>10</v>
      </c>
      <c r="D193" s="90" t="str">
        <f aca="false">SRC_Model!$O10</f>
        <v>Active</v>
      </c>
      <c r="E193" s="90" t="n">
        <f aca="false">SRC_Model!$K10</f>
        <v>1</v>
      </c>
      <c r="F193" s="90" t="str">
        <f aca="false">SRC_Model!$S10</f>
        <v>2026-10-05</v>
      </c>
    </row>
    <row r="194" customFormat="false" ht="15" hidden="false" customHeight="false" outlineLevel="0" collapsed="false">
      <c r="A194" s="90" t="str">
        <f aca="false">SRC_Model!$A11&amp;""</f>
        <v>SRC_MOD_007</v>
      </c>
      <c r="B194" s="59" t="s">
        <v>8327</v>
      </c>
      <c r="C194" s="58" t="n">
        <v>11</v>
      </c>
      <c r="D194" s="90" t="str">
        <f aca="false">SRC_Model!$O11</f>
        <v>Active</v>
      </c>
      <c r="E194" s="90" t="n">
        <f aca="false">SRC_Model!$K11</f>
        <v>1</v>
      </c>
      <c r="F194" s="90" t="str">
        <f aca="false">SRC_Model!$S11</f>
        <v>2026-10-05</v>
      </c>
    </row>
    <row r="195" customFormat="false" ht="15" hidden="false" customHeight="false" outlineLevel="0" collapsed="false">
      <c r="A195" s="90" t="str">
        <f aca="false">SRC_Model!$A12&amp;""</f>
        <v>SRC_MOD_008</v>
      </c>
      <c r="B195" s="59" t="s">
        <v>8327</v>
      </c>
      <c r="C195" s="58" t="n">
        <v>12</v>
      </c>
      <c r="D195" s="90" t="str">
        <f aca="false">SRC_Model!$O12</f>
        <v>Active</v>
      </c>
      <c r="E195" s="90" t="n">
        <f aca="false">SRC_Model!$K12</f>
        <v>3</v>
      </c>
      <c r="F195" s="90" t="str">
        <f aca="false">SRC_Model!$S12</f>
        <v>—</v>
      </c>
    </row>
    <row r="196" customFormat="false" ht="15" hidden="false" customHeight="false" outlineLevel="0" collapsed="false">
      <c r="A196" s="90" t="str">
        <f aca="false">SRC_Model!$A13&amp;""</f>
        <v>SRC_MOD_009</v>
      </c>
      <c r="B196" s="59" t="s">
        <v>8327</v>
      </c>
      <c r="C196" s="58" t="n">
        <v>13</v>
      </c>
      <c r="D196" s="90" t="str">
        <f aca="false">SRC_Model!$O13</f>
        <v>Active</v>
      </c>
      <c r="E196" s="90" t="n">
        <f aca="false">SRC_Model!$K13</f>
        <v>1</v>
      </c>
      <c r="F196" s="90" t="str">
        <f aca="false">SRC_Model!$S13</f>
        <v>2026-10-05</v>
      </c>
    </row>
    <row r="197" customFormat="false" ht="15" hidden="false" customHeight="false" outlineLevel="0" collapsed="false">
      <c r="A197" s="90" t="str">
        <f aca="false">SRC_Model!$A14&amp;""</f>
        <v>SRC_MOD_010</v>
      </c>
      <c r="B197" s="59" t="s">
        <v>8327</v>
      </c>
      <c r="C197" s="58" t="n">
        <v>14</v>
      </c>
      <c r="D197" s="90" t="str">
        <f aca="false">SRC_Model!$O14</f>
        <v>Active</v>
      </c>
      <c r="E197" s="90" t="n">
        <f aca="false">SRC_Model!$K14</f>
        <v>1</v>
      </c>
      <c r="F197" s="90" t="str">
        <f aca="false">SRC_Model!$S14</f>
        <v>2026-10-05</v>
      </c>
    </row>
    <row r="198" customFormat="false" ht="15" hidden="false" customHeight="false" outlineLevel="0" collapsed="false">
      <c r="A198" s="90" t="str">
        <f aca="false">SRC_Model!$A15&amp;""</f>
        <v>SRC_MOD_011</v>
      </c>
      <c r="B198" s="59" t="s">
        <v>8327</v>
      </c>
      <c r="C198" s="58" t="n">
        <v>15</v>
      </c>
      <c r="D198" s="90" t="str">
        <f aca="false">SRC_Model!$O15</f>
        <v>Active</v>
      </c>
      <c r="E198" s="90" t="n">
        <f aca="false">SRC_Model!$K15</f>
        <v>1</v>
      </c>
      <c r="F198" s="90" t="str">
        <f aca="false">SRC_Model!$S15</f>
        <v>2026-10-05</v>
      </c>
    </row>
    <row r="199" customFormat="false" ht="15" hidden="false" customHeight="false" outlineLevel="0" collapsed="false">
      <c r="A199" s="90" t="str">
        <f aca="false">SRC_Model!$A16&amp;""</f>
        <v>SRC_MOD_012</v>
      </c>
      <c r="B199" s="59" t="s">
        <v>8327</v>
      </c>
      <c r="C199" s="58" t="n">
        <v>16</v>
      </c>
      <c r="D199" s="90" t="str">
        <f aca="false">SRC_Model!$O16</f>
        <v>Active</v>
      </c>
      <c r="E199" s="90" t="n">
        <f aca="false">SRC_Model!$K16</f>
        <v>1</v>
      </c>
      <c r="F199" s="90" t="str">
        <f aca="false">SRC_Model!$S16</f>
        <v>2026-10-05</v>
      </c>
    </row>
    <row r="200" customFormat="false" ht="15" hidden="false" customHeight="false" outlineLevel="0" collapsed="false">
      <c r="A200" s="90" t="str">
        <f aca="false">SRC_Model!$A17&amp;""</f>
        <v>SRC_MOD_013</v>
      </c>
      <c r="B200" s="59" t="s">
        <v>8327</v>
      </c>
      <c r="C200" s="58" t="n">
        <v>17</v>
      </c>
      <c r="D200" s="90" t="str">
        <f aca="false">SRC_Model!$O17</f>
        <v>Active</v>
      </c>
      <c r="E200" s="90" t="n">
        <f aca="false">SRC_Model!$K17</f>
        <v>1</v>
      </c>
      <c r="F200" s="90" t="str">
        <f aca="false">SRC_Model!$S17</f>
        <v>2026-10-05</v>
      </c>
    </row>
    <row r="201" customFormat="false" ht="15" hidden="false" customHeight="false" outlineLevel="0" collapsed="false">
      <c r="A201" s="90" t="str">
        <f aca="false">SRC_Model!$A18&amp;""</f>
        <v>SRC_MOD_014</v>
      </c>
      <c r="B201" s="59" t="s">
        <v>8327</v>
      </c>
      <c r="C201" s="58" t="n">
        <v>18</v>
      </c>
      <c r="D201" s="90" t="str">
        <f aca="false">SRC_Model!$O18</f>
        <v>Active</v>
      </c>
      <c r="E201" s="90" t="n">
        <f aca="false">SRC_Model!$K18</f>
        <v>1</v>
      </c>
      <c r="F201" s="90" t="str">
        <f aca="false">SRC_Model!$S18</f>
        <v>2026-10-05</v>
      </c>
    </row>
    <row r="202" customFormat="false" ht="15" hidden="false" customHeight="false" outlineLevel="0" collapsed="false">
      <c r="A202" s="90" t="str">
        <f aca="false">SRC_Model!$A19&amp;""</f>
        <v>SRC_MOD_015</v>
      </c>
      <c r="B202" s="59" t="s">
        <v>8327</v>
      </c>
      <c r="C202" s="58" t="n">
        <v>19</v>
      </c>
      <c r="D202" s="90" t="str">
        <f aca="false">SRC_Model!$O19</f>
        <v>Active</v>
      </c>
      <c r="E202" s="90" t="n">
        <f aca="false">SRC_Model!$K19</f>
        <v>1</v>
      </c>
      <c r="F202" s="90" t="str">
        <f aca="false">SRC_Model!$S19</f>
        <v>2026-10-05</v>
      </c>
    </row>
    <row r="203" customFormat="false" ht="15" hidden="false" customHeight="false" outlineLevel="0" collapsed="false">
      <c r="A203" s="90" t="str">
        <f aca="false">SRC_Model!$A20&amp;""</f>
        <v>SRC_MOD_016</v>
      </c>
      <c r="B203" s="59" t="s">
        <v>8327</v>
      </c>
      <c r="C203" s="58" t="n">
        <v>20</v>
      </c>
      <c r="D203" s="90" t="str">
        <f aca="false">SRC_Model!$O20</f>
        <v>Active</v>
      </c>
      <c r="E203" s="90" t="n">
        <f aca="false">SRC_Model!$K20</f>
        <v>1</v>
      </c>
      <c r="F203" s="90" t="str">
        <f aca="false">SRC_Model!$S20</f>
        <v>2026-10-05</v>
      </c>
    </row>
    <row r="204" customFormat="false" ht="15" hidden="false" customHeight="false" outlineLevel="0" collapsed="false">
      <c r="A204" s="90" t="str">
        <f aca="false">SRC_Model!$A21&amp;""</f>
        <v>SRC_MOD_017</v>
      </c>
      <c r="B204" s="59" t="s">
        <v>8327</v>
      </c>
      <c r="C204" s="58" t="n">
        <v>21</v>
      </c>
      <c r="D204" s="90" t="str">
        <f aca="false">SRC_Model!$O21</f>
        <v>Active</v>
      </c>
      <c r="E204" s="90" t="n">
        <f aca="false">SRC_Model!$K21</f>
        <v>1</v>
      </c>
      <c r="F204" s="90" t="str">
        <f aca="false">SRC_Model!$S21</f>
        <v>2026-10-05</v>
      </c>
    </row>
    <row r="205" customFormat="false" ht="15" hidden="false" customHeight="false" outlineLevel="0" collapsed="false">
      <c r="A205" s="90" t="str">
        <f aca="false">SRC_Model!$A22&amp;""</f>
        <v>SRC_MOD_018</v>
      </c>
      <c r="B205" s="59" t="s">
        <v>8327</v>
      </c>
      <c r="C205" s="58" t="n">
        <v>22</v>
      </c>
      <c r="D205" s="90" t="str">
        <f aca="false">SRC_Model!$O22</f>
        <v>Active</v>
      </c>
      <c r="E205" s="90" t="n">
        <f aca="false">SRC_Model!$K22</f>
        <v>3</v>
      </c>
      <c r="F205" s="90" t="str">
        <f aca="false">SRC_Model!$S22</f>
        <v>—</v>
      </c>
    </row>
    <row r="206" customFormat="false" ht="15" hidden="false" customHeight="false" outlineLevel="0" collapsed="false">
      <c r="A206" s="90" t="str">
        <f aca="false">SRC_Model!$A23&amp;""</f>
        <v>SRC_MOD_019</v>
      </c>
      <c r="B206" s="59" t="s">
        <v>8327</v>
      </c>
      <c r="C206" s="58" t="n">
        <v>23</v>
      </c>
      <c r="D206" s="90" t="str">
        <f aca="false">SRC_Model!$O23</f>
        <v>Active</v>
      </c>
      <c r="E206" s="90" t="n">
        <f aca="false">SRC_Model!$K23</f>
        <v>3</v>
      </c>
      <c r="F206" s="90" t="str">
        <f aca="false">SRC_Model!$S23</f>
        <v>—</v>
      </c>
    </row>
    <row r="207" customFormat="false" ht="15" hidden="false" customHeight="false" outlineLevel="0" collapsed="false">
      <c r="A207" s="90" t="str">
        <f aca="false">SRC_Model!$A24&amp;""</f>
        <v>SRC_MOD_020</v>
      </c>
      <c r="B207" s="59" t="s">
        <v>8327</v>
      </c>
      <c r="C207" s="58" t="n">
        <v>24</v>
      </c>
      <c r="D207" s="90" t="str">
        <f aca="false">SRC_Model!$O24</f>
        <v>Active</v>
      </c>
      <c r="E207" s="90" t="n">
        <f aca="false">SRC_Model!$K24</f>
        <v>3</v>
      </c>
      <c r="F207" s="90" t="str">
        <f aca="false">SRC_Model!$S24</f>
        <v>—</v>
      </c>
    </row>
    <row r="208" customFormat="false" ht="15" hidden="false" customHeight="false" outlineLevel="0" collapsed="false">
      <c r="A208" s="90" t="str">
        <f aca="false">SRC_Model!$A25&amp;""</f>
        <v>SRC_MOD_021</v>
      </c>
      <c r="B208" s="59" t="s">
        <v>8327</v>
      </c>
      <c r="C208" s="58" t="n">
        <v>25</v>
      </c>
      <c r="D208" s="90" t="str">
        <f aca="false">SRC_Model!$O25</f>
        <v>Active</v>
      </c>
      <c r="E208" s="90" t="n">
        <f aca="false">SRC_Model!$K25</f>
        <v>3</v>
      </c>
      <c r="F208" s="90" t="str">
        <f aca="false">SRC_Model!$S25</f>
        <v>—</v>
      </c>
    </row>
    <row r="209" customFormat="false" ht="15" hidden="false" customHeight="false" outlineLevel="0" collapsed="false">
      <c r="A209" s="90" t="str">
        <f aca="false">SRC_Model!$A26&amp;""</f>
        <v>SRC_MOD_022</v>
      </c>
      <c r="B209" s="59" t="s">
        <v>8327</v>
      </c>
      <c r="C209" s="58" t="n">
        <v>26</v>
      </c>
      <c r="D209" s="90" t="str">
        <f aca="false">SRC_Model!$O26</f>
        <v>Active</v>
      </c>
      <c r="E209" s="90" t="n">
        <f aca="false">SRC_Model!$K26</f>
        <v>3</v>
      </c>
      <c r="F209" s="90" t="str">
        <f aca="false">SRC_Model!$S26</f>
        <v>—</v>
      </c>
    </row>
    <row r="210" customFormat="false" ht="15" hidden="false" customHeight="false" outlineLevel="0" collapsed="false">
      <c r="A210" s="90" t="str">
        <f aca="false">SRC_Model!$A27&amp;""</f>
        <v>SRC_MOD_023</v>
      </c>
      <c r="B210" s="59" t="s">
        <v>8327</v>
      </c>
      <c r="C210" s="58" t="n">
        <v>27</v>
      </c>
      <c r="D210" s="90" t="str">
        <f aca="false">SRC_Model!$O27</f>
        <v>Active</v>
      </c>
      <c r="E210" s="90" t="n">
        <f aca="false">SRC_Model!$K27</f>
        <v>3</v>
      </c>
      <c r="F210" s="90" t="str">
        <f aca="false">SRC_Model!$S27</f>
        <v>—</v>
      </c>
    </row>
    <row r="211" customFormat="false" ht="15" hidden="false" customHeight="false" outlineLevel="0" collapsed="false">
      <c r="A211" s="90" t="str">
        <f aca="false">SRC_Model!$A28&amp;""</f>
        <v>SRC_MOD_024</v>
      </c>
      <c r="B211" s="59" t="s">
        <v>8327</v>
      </c>
      <c r="C211" s="58" t="n">
        <v>28</v>
      </c>
      <c r="D211" s="90" t="str">
        <f aca="false">SRC_Model!$O28</f>
        <v>Active</v>
      </c>
      <c r="E211" s="90" t="n">
        <f aca="false">SRC_Model!$K28</f>
        <v>3</v>
      </c>
      <c r="F211" s="90" t="str">
        <f aca="false">SRC_Model!$S28</f>
        <v>—</v>
      </c>
    </row>
    <row r="212" customFormat="false" ht="15" hidden="false" customHeight="false" outlineLevel="0" collapsed="false">
      <c r="A212" s="90" t="str">
        <f aca="false">SRC_Model!$A29&amp;""</f>
        <v>SRC_MOD_025</v>
      </c>
      <c r="B212" s="59" t="s">
        <v>8327</v>
      </c>
      <c r="C212" s="58" t="n">
        <v>29</v>
      </c>
      <c r="D212" s="90" t="str">
        <f aca="false">SRC_Model!$O29</f>
        <v>Active</v>
      </c>
      <c r="E212" s="90" t="n">
        <f aca="false">SRC_Model!$K29</f>
        <v>3</v>
      </c>
      <c r="F212" s="90" t="str">
        <f aca="false">SRC_Model!$S29</f>
        <v>—</v>
      </c>
    </row>
    <row r="213" customFormat="false" ht="15" hidden="false" customHeight="false" outlineLevel="0" collapsed="false">
      <c r="A213" s="90" t="str">
        <f aca="false">SRC_Model!$A30&amp;""</f>
        <v>SRC_MOD_026</v>
      </c>
      <c r="B213" s="59" t="s">
        <v>8327</v>
      </c>
      <c r="C213" s="58" t="n">
        <v>30</v>
      </c>
      <c r="D213" s="90" t="str">
        <f aca="false">SRC_Model!$O30</f>
        <v>Active</v>
      </c>
      <c r="E213" s="90" t="n">
        <f aca="false">SRC_Model!$K30</f>
        <v>3</v>
      </c>
      <c r="F213" s="90" t="str">
        <f aca="false">SRC_Model!$S30</f>
        <v>—</v>
      </c>
    </row>
    <row r="214" customFormat="false" ht="15" hidden="false" customHeight="false" outlineLevel="0" collapsed="false">
      <c r="A214" s="90" t="str">
        <f aca="false">SRC_Model!$A31&amp;""</f>
        <v>SRC_MOD_027</v>
      </c>
      <c r="B214" s="59" t="s">
        <v>8327</v>
      </c>
      <c r="C214" s="58" t="n">
        <v>31</v>
      </c>
      <c r="D214" s="90" t="str">
        <f aca="false">SRC_Model!$O31</f>
        <v>Active</v>
      </c>
      <c r="E214" s="90" t="n">
        <f aca="false">SRC_Model!$K31</f>
        <v>3</v>
      </c>
      <c r="F214" s="90" t="str">
        <f aca="false">SRC_Model!$S31</f>
        <v>—</v>
      </c>
    </row>
    <row r="215" customFormat="false" ht="15" hidden="false" customHeight="false" outlineLevel="0" collapsed="false">
      <c r="A215" s="90" t="str">
        <f aca="false">SRC_Model!$A32&amp;""</f>
        <v>SRC_MOD_028</v>
      </c>
      <c r="B215" s="59" t="s">
        <v>8327</v>
      </c>
      <c r="C215" s="58" t="n">
        <v>32</v>
      </c>
      <c r="D215" s="90" t="str">
        <f aca="false">SRC_Model!$O32</f>
        <v>Active</v>
      </c>
      <c r="E215" s="90" t="n">
        <f aca="false">SRC_Model!$K32</f>
        <v>3</v>
      </c>
      <c r="F215" s="90" t="str">
        <f aca="false">SRC_Model!$S32</f>
        <v>—</v>
      </c>
    </row>
    <row r="216" customFormat="false" ht="15" hidden="false" customHeight="false" outlineLevel="0" collapsed="false">
      <c r="A216" s="90" t="str">
        <f aca="false">SRC_Model!$A33&amp;""</f>
        <v>SRC_MOD_029</v>
      </c>
      <c r="B216" s="59" t="s">
        <v>8327</v>
      </c>
      <c r="C216" s="58" t="n">
        <v>33</v>
      </c>
      <c r="D216" s="90" t="str">
        <f aca="false">SRC_Model!$O33</f>
        <v>Active</v>
      </c>
      <c r="E216" s="90" t="n">
        <f aca="false">SRC_Model!$K33</f>
        <v>1</v>
      </c>
      <c r="F216" s="90" t="str">
        <f aca="false">SRC_Model!$S33</f>
        <v>—</v>
      </c>
    </row>
    <row r="217" customFormat="false" ht="15" hidden="false" customHeight="false" outlineLevel="0" collapsed="false">
      <c r="A217" s="90" t="str">
        <f aca="false">SRC_Model!$A34&amp;""</f>
        <v>SRC_MOD_030</v>
      </c>
      <c r="B217" s="59" t="s">
        <v>8327</v>
      </c>
      <c r="C217" s="58" t="n">
        <v>34</v>
      </c>
      <c r="D217" s="90" t="str">
        <f aca="false">SRC_Model!$O34</f>
        <v>Active</v>
      </c>
      <c r="E217" s="90" t="n">
        <f aca="false">SRC_Model!$K34</f>
        <v>1</v>
      </c>
      <c r="F217" s="90" t="str">
        <f aca="false">SRC_Model!$S34</f>
        <v>—</v>
      </c>
    </row>
    <row r="218" customFormat="false" ht="15" hidden="false" customHeight="false" outlineLevel="0" collapsed="false">
      <c r="A218" s="90" t="str">
        <f aca="false">SRC_Model!$A35&amp;""</f>
        <v>SRC_MOD_031</v>
      </c>
      <c r="B218" s="59" t="s">
        <v>8327</v>
      </c>
      <c r="C218" s="58" t="n">
        <v>35</v>
      </c>
      <c r="D218" s="90" t="str">
        <f aca="false">SRC_Model!$O35</f>
        <v>Active</v>
      </c>
      <c r="E218" s="90" t="n">
        <f aca="false">SRC_Model!$K35</f>
        <v>1</v>
      </c>
      <c r="F218" s="90" t="str">
        <f aca="false">SRC_Model!$S35</f>
        <v>—</v>
      </c>
    </row>
    <row r="219" customFormat="false" ht="15" hidden="false" customHeight="false" outlineLevel="0" collapsed="false">
      <c r="A219" s="90" t="str">
        <f aca="false">SRC_Model!$A36&amp;""</f>
        <v>SRC_MOD_032</v>
      </c>
      <c r="B219" s="59" t="s">
        <v>8327</v>
      </c>
      <c r="C219" s="58" t="n">
        <v>36</v>
      </c>
      <c r="D219" s="90" t="str">
        <f aca="false">SRC_Model!$O36</f>
        <v>Active</v>
      </c>
      <c r="E219" s="90" t="n">
        <f aca="false">SRC_Model!$K36</f>
        <v>1</v>
      </c>
      <c r="F219" s="90" t="str">
        <f aca="false">SRC_Model!$S36</f>
        <v>—</v>
      </c>
    </row>
    <row r="220" customFormat="false" ht="15" hidden="false" customHeight="false" outlineLevel="0" collapsed="false">
      <c r="A220" s="90" t="str">
        <f aca="false">SRC_Model!$A37&amp;""</f>
        <v>SRC_MOD_033</v>
      </c>
      <c r="B220" s="59" t="s">
        <v>8327</v>
      </c>
      <c r="C220" s="58" t="n">
        <v>37</v>
      </c>
      <c r="D220" s="90" t="str">
        <f aca="false">SRC_Model!$O37</f>
        <v>Active</v>
      </c>
      <c r="E220" s="90" t="n">
        <f aca="false">SRC_Model!$K37</f>
        <v>1</v>
      </c>
      <c r="F220" s="90" t="str">
        <f aca="false">SRC_Model!$S37</f>
        <v>—</v>
      </c>
    </row>
    <row r="221" customFormat="false" ht="15" hidden="false" customHeight="false" outlineLevel="0" collapsed="false">
      <c r="A221" s="90" t="str">
        <f aca="false">SRC_Model!$A38&amp;""</f>
        <v>SRC_MOD_034</v>
      </c>
      <c r="B221" s="59" t="s">
        <v>8327</v>
      </c>
      <c r="C221" s="58" t="n">
        <v>38</v>
      </c>
      <c r="D221" s="90" t="str">
        <f aca="false">SRC_Model!$O38</f>
        <v>Active</v>
      </c>
      <c r="E221" s="90" t="n">
        <f aca="false">SRC_Model!$K38</f>
        <v>2</v>
      </c>
      <c r="F221" s="90" t="str">
        <f aca="false">SRC_Model!$S38</f>
        <v>—</v>
      </c>
    </row>
    <row r="222" customFormat="false" ht="15" hidden="false" customHeight="false" outlineLevel="0" collapsed="false">
      <c r="A222" s="90" t="str">
        <f aca="false">SRC_Model!$A39&amp;""</f>
        <v>SRC_MOD_035</v>
      </c>
      <c r="B222" s="59" t="s">
        <v>8327</v>
      </c>
      <c r="C222" s="58" t="n">
        <v>39</v>
      </c>
      <c r="D222" s="90" t="str">
        <f aca="false">SRC_Model!$O39</f>
        <v>Active</v>
      </c>
      <c r="E222" s="90" t="n">
        <f aca="false">SRC_Model!$K39</f>
        <v>2</v>
      </c>
      <c r="F222" s="90" t="str">
        <f aca="false">SRC_Model!$S39</f>
        <v>—</v>
      </c>
    </row>
    <row r="223" customFormat="false" ht="15" hidden="false" customHeight="false" outlineLevel="0" collapsed="false">
      <c r="A223" s="90" t="str">
        <f aca="false">SRC_Model!$A40&amp;""</f>
        <v>SRC_MOD_036</v>
      </c>
      <c r="B223" s="59" t="s">
        <v>8327</v>
      </c>
      <c r="C223" s="58" t="n">
        <v>40</v>
      </c>
      <c r="D223" s="90" t="str">
        <f aca="false">SRC_Model!$O40</f>
        <v>Active</v>
      </c>
      <c r="E223" s="90" t="n">
        <f aca="false">SRC_Model!$K40</f>
        <v>1</v>
      </c>
      <c r="F223" s="90" t="str">
        <f aca="false">SRC_Model!$S40</f>
        <v>—</v>
      </c>
    </row>
    <row r="224" customFormat="false" ht="15" hidden="false" customHeight="false" outlineLevel="0" collapsed="false">
      <c r="A224" s="90" t="str">
        <f aca="false">SRC_Model!$A41&amp;""</f>
        <v>SRC_MOD_037</v>
      </c>
      <c r="B224" s="59" t="s">
        <v>8327</v>
      </c>
      <c r="C224" s="58" t="n">
        <v>41</v>
      </c>
      <c r="D224" s="90" t="str">
        <f aca="false">SRC_Model!$O41</f>
        <v>Active</v>
      </c>
      <c r="E224" s="90" t="n">
        <f aca="false">SRC_Model!$K41</f>
        <v>1</v>
      </c>
      <c r="F224" s="90" t="str">
        <f aca="false">SRC_Model!$S41</f>
        <v>—</v>
      </c>
    </row>
    <row r="225" customFormat="false" ht="15" hidden="false" customHeight="false" outlineLevel="0" collapsed="false">
      <c r="A225" s="90" t="str">
        <f aca="false">SRC_Model!$A42&amp;""</f>
        <v>SRC_MOD_038</v>
      </c>
      <c r="B225" s="59" t="s">
        <v>8327</v>
      </c>
      <c r="C225" s="58" t="n">
        <v>42</v>
      </c>
      <c r="D225" s="90" t="str">
        <f aca="false">SRC_Model!$O42</f>
        <v>Active</v>
      </c>
      <c r="E225" s="90" t="n">
        <f aca="false">SRC_Model!$K42</f>
        <v>1</v>
      </c>
      <c r="F225" s="90" t="str">
        <f aca="false">SRC_Model!$S42</f>
        <v>—</v>
      </c>
    </row>
    <row r="226" customFormat="false" ht="15" hidden="false" customHeight="false" outlineLevel="0" collapsed="false">
      <c r="A226" s="90" t="str">
        <f aca="false">SRC_Model!$A43&amp;""</f>
        <v>SRC_MOD_039</v>
      </c>
      <c r="B226" s="59" t="s">
        <v>8327</v>
      </c>
      <c r="C226" s="58" t="n">
        <v>43</v>
      </c>
      <c r="D226" s="90" t="str">
        <f aca="false">SRC_Model!$O43</f>
        <v>Active</v>
      </c>
      <c r="E226" s="90" t="n">
        <f aca="false">SRC_Model!$K43</f>
        <v>3</v>
      </c>
      <c r="F226" s="90" t="str">
        <f aca="false">SRC_Model!$S43</f>
        <v>—</v>
      </c>
    </row>
    <row r="227" customFormat="false" ht="15" hidden="false" customHeight="false" outlineLevel="0" collapsed="false">
      <c r="A227" s="90" t="str">
        <f aca="false">SRC_Model!$A44&amp;""</f>
        <v>SRC_MOD_040</v>
      </c>
      <c r="B227" s="59" t="s">
        <v>8327</v>
      </c>
      <c r="C227" s="58" t="n">
        <v>44</v>
      </c>
      <c r="D227" s="90" t="str">
        <f aca="false">SRC_Model!$O44</f>
        <v>Active</v>
      </c>
      <c r="E227" s="90" t="n">
        <f aca="false">SRC_Model!$K44</f>
        <v>3</v>
      </c>
      <c r="F227" s="90" t="str">
        <f aca="false">SRC_Model!$S44</f>
        <v>—</v>
      </c>
    </row>
    <row r="228" customFormat="false" ht="15" hidden="false" customHeight="false" outlineLevel="0" collapsed="false">
      <c r="A228" s="90" t="str">
        <f aca="false">SRC_Model!$A45&amp;""</f>
        <v>SRC_MOD_041</v>
      </c>
      <c r="B228" s="59" t="s">
        <v>8327</v>
      </c>
      <c r="C228" s="58" t="n">
        <v>45</v>
      </c>
      <c r="D228" s="90" t="str">
        <f aca="false">SRC_Model!$O45</f>
        <v>Active</v>
      </c>
      <c r="E228" s="90" t="n">
        <f aca="false">SRC_Model!$K45</f>
        <v>3</v>
      </c>
      <c r="F228" s="90" t="str">
        <f aca="false">SRC_Model!$S45</f>
        <v>—</v>
      </c>
    </row>
    <row r="229" customFormat="false" ht="15" hidden="false" customHeight="false" outlineLevel="0" collapsed="false">
      <c r="A229" s="90" t="str">
        <f aca="false">SRC_Model!$A46&amp;""</f>
        <v>SRC_MOD_042</v>
      </c>
      <c r="B229" s="59" t="s">
        <v>8327</v>
      </c>
      <c r="C229" s="58" t="n">
        <v>46</v>
      </c>
      <c r="D229" s="90" t="str">
        <f aca="false">SRC_Model!$O46</f>
        <v>Active</v>
      </c>
      <c r="E229" s="90" t="n">
        <f aca="false">SRC_Model!$K46</f>
        <v>3</v>
      </c>
      <c r="F229" s="90" t="str">
        <f aca="false">SRC_Model!$S46</f>
        <v>—</v>
      </c>
    </row>
    <row r="230" customFormat="false" ht="15" hidden="false" customHeight="false" outlineLevel="0" collapsed="false">
      <c r="A230" s="90" t="str">
        <f aca="false">SRC_Model!$A47&amp;""</f>
        <v>SRC_MOD_043</v>
      </c>
      <c r="B230" s="59" t="s">
        <v>8327</v>
      </c>
      <c r="C230" s="58" t="n">
        <v>47</v>
      </c>
      <c r="D230" s="90" t="str">
        <f aca="false">SRC_Model!$O47</f>
        <v>Active</v>
      </c>
      <c r="E230" s="90" t="n">
        <f aca="false">SRC_Model!$K47</f>
        <v>1</v>
      </c>
      <c r="F230" s="90" t="str">
        <f aca="false">SRC_Model!$S47</f>
        <v>—</v>
      </c>
    </row>
    <row r="231" customFormat="false" ht="15" hidden="false" customHeight="false" outlineLevel="0" collapsed="false">
      <c r="A231" s="90" t="str">
        <f aca="false">SRC_Model!$A48&amp;""</f>
        <v>SRC_MOD_044</v>
      </c>
      <c r="B231" s="59" t="s">
        <v>8327</v>
      </c>
      <c r="C231" s="58" t="n">
        <v>48</v>
      </c>
      <c r="D231" s="90" t="str">
        <f aca="false">SRC_Model!$O48</f>
        <v>Active</v>
      </c>
      <c r="E231" s="90" t="n">
        <f aca="false">SRC_Model!$K48</f>
        <v>1</v>
      </c>
      <c r="F231" s="90" t="str">
        <f aca="false">SRC_Model!$S48</f>
        <v>—</v>
      </c>
    </row>
    <row r="232" customFormat="false" ht="15" hidden="false" customHeight="false" outlineLevel="0" collapsed="false">
      <c r="A232" s="90" t="str">
        <f aca="false">SRC_Model!$A49&amp;""</f>
        <v>SRC_MOD_045</v>
      </c>
      <c r="B232" s="59" t="s">
        <v>8327</v>
      </c>
      <c r="C232" s="58" t="n">
        <v>49</v>
      </c>
      <c r="D232" s="90" t="str">
        <f aca="false">SRC_Model!$O49</f>
        <v>Active</v>
      </c>
      <c r="E232" s="90" t="n">
        <f aca="false">SRC_Model!$K49</f>
        <v>2</v>
      </c>
      <c r="F232" s="90" t="str">
        <f aca="false">SRC_Model!$S49</f>
        <v>—</v>
      </c>
    </row>
    <row r="233" customFormat="false" ht="15" hidden="false" customHeight="false" outlineLevel="0" collapsed="false">
      <c r="A233" s="90" t="str">
        <f aca="false">SRC_Model!$A50&amp;""</f>
        <v>SRC_MOD_046</v>
      </c>
      <c r="B233" s="59" t="s">
        <v>8327</v>
      </c>
      <c r="C233" s="58" t="n">
        <v>50</v>
      </c>
      <c r="D233" s="90" t="str">
        <f aca="false">SRC_Model!$O50</f>
        <v>Active</v>
      </c>
      <c r="E233" s="90" t="n">
        <f aca="false">SRC_Model!$K50</f>
        <v>2</v>
      </c>
      <c r="F233" s="90" t="str">
        <f aca="false">SRC_Model!$S50</f>
        <v>—</v>
      </c>
    </row>
    <row r="234" customFormat="false" ht="15" hidden="false" customHeight="false" outlineLevel="0" collapsed="false">
      <c r="A234" s="90" t="str">
        <f aca="false">SRC_Model!$A51&amp;""</f>
        <v>SRC_MOD_047</v>
      </c>
      <c r="B234" s="59" t="s">
        <v>8327</v>
      </c>
      <c r="C234" s="58" t="n">
        <v>51</v>
      </c>
      <c r="D234" s="90" t="str">
        <f aca="false">SRC_Model!$O51</f>
        <v>Active</v>
      </c>
      <c r="E234" s="90" t="n">
        <f aca="false">SRC_Model!$K51</f>
        <v>1</v>
      </c>
      <c r="F234" s="90" t="str">
        <f aca="false">SRC_Model!$S51</f>
        <v>—</v>
      </c>
    </row>
    <row r="235" customFormat="false" ht="15" hidden="false" customHeight="false" outlineLevel="0" collapsed="false">
      <c r="A235" s="90" t="str">
        <f aca="false">SRC_Model!$A52&amp;""</f>
        <v>SRC_MOD_048</v>
      </c>
      <c r="B235" s="59" t="s">
        <v>8327</v>
      </c>
      <c r="C235" s="58" t="n">
        <v>52</v>
      </c>
      <c r="D235" s="90" t="str">
        <f aca="false">SRC_Model!$O52</f>
        <v>Active</v>
      </c>
      <c r="E235" s="90" t="n">
        <f aca="false">SRC_Model!$K52</f>
        <v>1</v>
      </c>
      <c r="F235" s="90" t="str">
        <f aca="false">SRC_Model!$S52</f>
        <v>—</v>
      </c>
    </row>
    <row r="236" customFormat="false" ht="15" hidden="false" customHeight="false" outlineLevel="0" collapsed="false">
      <c r="A236" s="90" t="str">
        <f aca="false">SRC_Model!$A53&amp;""</f>
        <v>SRC_MOD_049</v>
      </c>
      <c r="B236" s="59" t="s">
        <v>8327</v>
      </c>
      <c r="C236" s="58" t="n">
        <v>53</v>
      </c>
      <c r="D236" s="90" t="str">
        <f aca="false">SRC_Model!$O53</f>
        <v>Active</v>
      </c>
      <c r="E236" s="90" t="n">
        <f aca="false">SRC_Model!$K53</f>
        <v>3</v>
      </c>
      <c r="F236" s="90" t="str">
        <f aca="false">SRC_Model!$S53</f>
        <v>—</v>
      </c>
    </row>
    <row r="237" customFormat="false" ht="15" hidden="false" customHeight="false" outlineLevel="0" collapsed="false">
      <c r="A237" s="90" t="str">
        <f aca="false">SRC_Model!$A54&amp;""</f>
        <v>SRC_MOD_050</v>
      </c>
      <c r="B237" s="59" t="s">
        <v>8327</v>
      </c>
      <c r="C237" s="58" t="n">
        <v>54</v>
      </c>
      <c r="D237" s="90" t="str">
        <f aca="false">SRC_Model!$O54</f>
        <v>Active</v>
      </c>
      <c r="E237" s="90" t="n">
        <f aca="false">SRC_Model!$K54</f>
        <v>3</v>
      </c>
      <c r="F237" s="90" t="str">
        <f aca="false">SRC_Model!$S54</f>
        <v>—</v>
      </c>
    </row>
    <row r="238" customFormat="false" ht="15" hidden="false" customHeight="false" outlineLevel="0" collapsed="false">
      <c r="A238" s="90" t="str">
        <f aca="false">SRC_Model!$A55&amp;""</f>
        <v>SRC_MOD_051</v>
      </c>
      <c r="B238" s="59" t="s">
        <v>8327</v>
      </c>
      <c r="C238" s="58" t="n">
        <v>55</v>
      </c>
      <c r="D238" s="90" t="str">
        <f aca="false">SRC_Model!$O55</f>
        <v>Active</v>
      </c>
      <c r="E238" s="90" t="n">
        <f aca="false">SRC_Model!$K55</f>
        <v>3</v>
      </c>
      <c r="F238" s="90" t="str">
        <f aca="false">SRC_Model!$S55</f>
        <v>—</v>
      </c>
    </row>
    <row r="239" customFormat="false" ht="15" hidden="false" customHeight="false" outlineLevel="0" collapsed="false">
      <c r="A239" s="90" t="str">
        <f aca="false">SRC_Model!$A56&amp;""</f>
        <v>SRC_MOD_052</v>
      </c>
      <c r="B239" s="59" t="s">
        <v>8327</v>
      </c>
      <c r="C239" s="58" t="n">
        <v>56</v>
      </c>
      <c r="D239" s="90" t="str">
        <f aca="false">SRC_Model!$O56</f>
        <v>Active</v>
      </c>
      <c r="E239" s="90" t="n">
        <f aca="false">SRC_Model!$K56</f>
        <v>1</v>
      </c>
      <c r="F239" s="90" t="str">
        <f aca="false">SRC_Model!$S56</f>
        <v>—</v>
      </c>
    </row>
    <row r="240" customFormat="false" ht="15" hidden="false" customHeight="false" outlineLevel="0" collapsed="false">
      <c r="A240" s="90" t="str">
        <f aca="false">SRC_Model!$A57&amp;""</f>
        <v>SRC_MOD_053</v>
      </c>
      <c r="B240" s="59" t="s">
        <v>8327</v>
      </c>
      <c r="C240" s="58" t="n">
        <v>57</v>
      </c>
      <c r="D240" s="90" t="str">
        <f aca="false">SRC_Model!$O57</f>
        <v>Active</v>
      </c>
      <c r="E240" s="90" t="n">
        <f aca="false">SRC_Model!$K57</f>
        <v>1</v>
      </c>
      <c r="F240" s="90" t="str">
        <f aca="false">SRC_Model!$S57</f>
        <v>—</v>
      </c>
    </row>
    <row r="241" customFormat="false" ht="15" hidden="false" customHeight="false" outlineLevel="0" collapsed="false">
      <c r="A241" s="90" t="str">
        <f aca="false">SRC_Model!$A58&amp;""</f>
        <v>SRC_MOD_054</v>
      </c>
      <c r="B241" s="59" t="s">
        <v>8327</v>
      </c>
      <c r="C241" s="58" t="n">
        <v>58</v>
      </c>
      <c r="D241" s="90" t="str">
        <f aca="false">SRC_Model!$O58</f>
        <v>Active</v>
      </c>
      <c r="E241" s="90" t="n">
        <f aca="false">SRC_Model!$K58</f>
        <v>1</v>
      </c>
      <c r="F241" s="90" t="str">
        <f aca="false">SRC_Model!$S58</f>
        <v>—</v>
      </c>
    </row>
    <row r="242" customFormat="false" ht="15" hidden="false" customHeight="false" outlineLevel="0" collapsed="false">
      <c r="A242" s="90" t="str">
        <f aca="false">SRC_Model!$A59&amp;""</f>
        <v>SRC_MOD_055</v>
      </c>
      <c r="B242" s="59" t="s">
        <v>8327</v>
      </c>
      <c r="C242" s="58" t="n">
        <v>59</v>
      </c>
      <c r="D242" s="90" t="str">
        <f aca="false">SRC_Model!$O59</f>
        <v>Active</v>
      </c>
      <c r="E242" s="90" t="n">
        <f aca="false">SRC_Model!$K59</f>
        <v>1</v>
      </c>
      <c r="F242" s="90" t="str">
        <f aca="false">SRC_Model!$S59</f>
        <v>—</v>
      </c>
    </row>
    <row r="243" customFormat="false" ht="15" hidden="false" customHeight="false" outlineLevel="0" collapsed="false">
      <c r="A243" s="90" t="str">
        <f aca="false">SRC_Model!$A60&amp;""</f>
        <v>SRC_MOD_057</v>
      </c>
      <c r="B243" s="59" t="s">
        <v>8327</v>
      </c>
      <c r="C243" s="58" t="n">
        <v>60</v>
      </c>
      <c r="D243" s="90" t="str">
        <f aca="false">SRC_Model!$O60</f>
        <v>Active</v>
      </c>
      <c r="E243" s="90" t="n">
        <f aca="false">SRC_Model!$K60</f>
        <v>1</v>
      </c>
      <c r="F243" s="90" t="str">
        <f aca="false">SRC_Model!$S60</f>
        <v>—</v>
      </c>
    </row>
    <row r="244" customFormat="false" ht="15" hidden="false" customHeight="false" outlineLevel="0" collapsed="false">
      <c r="A244" s="90" t="str">
        <f aca="false">SRC_Model!$A61&amp;""</f>
        <v>SRC_MOD_058</v>
      </c>
      <c r="B244" s="59" t="s">
        <v>8327</v>
      </c>
      <c r="C244" s="58" t="n">
        <v>61</v>
      </c>
      <c r="D244" s="90" t="str">
        <f aca="false">SRC_Model!$O61</f>
        <v>Active</v>
      </c>
      <c r="E244" s="90" t="n">
        <f aca="false">SRC_Model!$K61</f>
        <v>1</v>
      </c>
      <c r="F244" s="90" t="str">
        <f aca="false">SRC_Model!$S61</f>
        <v>—</v>
      </c>
    </row>
    <row r="245" customFormat="false" ht="15" hidden="false" customHeight="false" outlineLevel="0" collapsed="false">
      <c r="A245" s="90" t="str">
        <f aca="false">SRC_Model!$A62&amp;""</f>
        <v>SRC_MOD_059</v>
      </c>
      <c r="B245" s="59" t="s">
        <v>8327</v>
      </c>
      <c r="C245" s="58" t="n">
        <v>62</v>
      </c>
      <c r="D245" s="90" t="str">
        <f aca="false">SRC_Model!$O62</f>
        <v>Active</v>
      </c>
      <c r="E245" s="90" t="n">
        <f aca="false">SRC_Model!$K62</f>
        <v>1</v>
      </c>
      <c r="F245" s="90" t="str">
        <f aca="false">SRC_Model!$S62</f>
        <v>—</v>
      </c>
    </row>
    <row r="246" customFormat="false" ht="15" hidden="false" customHeight="false" outlineLevel="0" collapsed="false">
      <c r="A246" s="90" t="str">
        <f aca="false">SRC_Model!$A63&amp;""</f>
        <v>SRC_MOD_060</v>
      </c>
      <c r="B246" s="59" t="s">
        <v>8327</v>
      </c>
      <c r="C246" s="58" t="n">
        <v>63</v>
      </c>
      <c r="D246" s="90" t="str">
        <f aca="false">SRC_Model!$O63</f>
        <v>Active</v>
      </c>
      <c r="E246" s="90" t="n">
        <f aca="false">SRC_Model!$K63</f>
        <v>1</v>
      </c>
      <c r="F246" s="90" t="str">
        <f aca="false">SRC_Model!$S63</f>
        <v>—</v>
      </c>
    </row>
    <row r="247" customFormat="false" ht="15" hidden="false" customHeight="false" outlineLevel="0" collapsed="false">
      <c r="A247" s="90" t="str">
        <f aca="false">SRC_Model!$A64&amp;""</f>
        <v>SRC_MOD_061</v>
      </c>
      <c r="B247" s="59" t="s">
        <v>8327</v>
      </c>
      <c r="C247" s="58" t="n">
        <v>64</v>
      </c>
      <c r="D247" s="90" t="str">
        <f aca="false">SRC_Model!$O64</f>
        <v>Active</v>
      </c>
      <c r="E247" s="90" t="n">
        <f aca="false">SRC_Model!$K64</f>
        <v>1</v>
      </c>
      <c r="F247" s="90" t="str">
        <f aca="false">SRC_Model!$S64</f>
        <v>—</v>
      </c>
    </row>
    <row r="248" customFormat="false" ht="15" hidden="false" customHeight="false" outlineLevel="0" collapsed="false">
      <c r="A248" s="90" t="str">
        <f aca="false">SRC_Model!$A65&amp;""</f>
        <v>SRC_MOD_062</v>
      </c>
      <c r="B248" s="59" t="s">
        <v>8327</v>
      </c>
      <c r="C248" s="58" t="n">
        <v>65</v>
      </c>
      <c r="D248" s="90" t="str">
        <f aca="false">SRC_Model!$O65</f>
        <v>Active</v>
      </c>
      <c r="E248" s="90" t="n">
        <f aca="false">SRC_Model!$K65</f>
        <v>1</v>
      </c>
      <c r="F248" s="90" t="str">
        <f aca="false">SRC_Model!$S65</f>
        <v>—</v>
      </c>
    </row>
    <row r="249" customFormat="false" ht="15" hidden="false" customHeight="false" outlineLevel="0" collapsed="false">
      <c r="A249" s="90" t="str">
        <f aca="false">SRC_Model!$A66&amp;""</f>
        <v/>
      </c>
      <c r="B249" s="59" t="s">
        <v>8327</v>
      </c>
      <c r="C249" s="58" t="n">
        <v>66</v>
      </c>
      <c r="D249" s="90" t="n">
        <f aca="false">SRC_Model!$O66</f>
        <v>0</v>
      </c>
      <c r="E249" s="90" t="n">
        <f aca="false">SRC_Model!$K66</f>
        <v>0</v>
      </c>
      <c r="F249" s="90" t="n">
        <f aca="false">SRC_Model!$S66</f>
        <v>0</v>
      </c>
    </row>
    <row r="250" customFormat="false" ht="15" hidden="false" customHeight="false" outlineLevel="0" collapsed="false">
      <c r="A250" s="90" t="str">
        <f aca="false">SRC_Model!$A67&amp;""</f>
        <v/>
      </c>
      <c r="B250" s="59" t="s">
        <v>8327</v>
      </c>
      <c r="C250" s="58" t="n">
        <v>67</v>
      </c>
      <c r="D250" s="90" t="n">
        <f aca="false">SRC_Model!$O67</f>
        <v>0</v>
      </c>
      <c r="E250" s="90" t="n">
        <f aca="false">SRC_Model!$K67</f>
        <v>0</v>
      </c>
      <c r="F250" s="90" t="n">
        <f aca="false">SRC_Model!$S67</f>
        <v>0</v>
      </c>
    </row>
    <row r="251" customFormat="false" ht="15" hidden="false" customHeight="false" outlineLevel="0" collapsed="false">
      <c r="A251" s="90" t="str">
        <f aca="false">SRC_Model!$A68&amp;""</f>
        <v/>
      </c>
      <c r="B251" s="59" t="s">
        <v>8327</v>
      </c>
      <c r="C251" s="58" t="n">
        <v>68</v>
      </c>
      <c r="D251" s="90" t="n">
        <f aca="false">SRC_Model!$O68</f>
        <v>0</v>
      </c>
      <c r="E251" s="90" t="n">
        <f aca="false">SRC_Model!$K68</f>
        <v>0</v>
      </c>
      <c r="F251" s="90" t="n">
        <f aca="false">SRC_Model!$S68</f>
        <v>0</v>
      </c>
    </row>
    <row r="252" customFormat="false" ht="15" hidden="false" customHeight="false" outlineLevel="0" collapsed="false">
      <c r="A252" s="90" t="str">
        <f aca="false">SRC_Model!$A69&amp;""</f>
        <v/>
      </c>
      <c r="B252" s="59" t="s">
        <v>8327</v>
      </c>
      <c r="C252" s="58" t="n">
        <v>69</v>
      </c>
      <c r="D252" s="90" t="n">
        <f aca="false">SRC_Model!$O69</f>
        <v>0</v>
      </c>
      <c r="E252" s="90" t="n">
        <f aca="false">SRC_Model!$K69</f>
        <v>0</v>
      </c>
      <c r="F252" s="90" t="n">
        <f aca="false">SRC_Model!$S69</f>
        <v>0</v>
      </c>
    </row>
    <row r="253" customFormat="false" ht="15" hidden="false" customHeight="false" outlineLevel="0" collapsed="false">
      <c r="A253" s="90" t="str">
        <f aca="false">SRC_Model!$A70&amp;""</f>
        <v/>
      </c>
      <c r="B253" s="59" t="s">
        <v>8327</v>
      </c>
      <c r="C253" s="58" t="n">
        <v>70</v>
      </c>
      <c r="D253" s="90" t="n">
        <f aca="false">SRC_Model!$O70</f>
        <v>0</v>
      </c>
      <c r="E253" s="90" t="n">
        <f aca="false">SRC_Model!$K70</f>
        <v>0</v>
      </c>
      <c r="F253" s="90" t="n">
        <f aca="false">SRC_Model!$S70</f>
        <v>0</v>
      </c>
    </row>
    <row r="254" customFormat="false" ht="15" hidden="false" customHeight="false" outlineLevel="0" collapsed="false">
      <c r="A254" s="90" t="str">
        <f aca="false">SRC_Model!$A71&amp;""</f>
        <v/>
      </c>
      <c r="B254" s="59" t="s">
        <v>8327</v>
      </c>
      <c r="C254" s="58" t="n">
        <v>71</v>
      </c>
      <c r="D254" s="90" t="n">
        <f aca="false">SRC_Model!$O71</f>
        <v>0</v>
      </c>
      <c r="E254" s="90" t="n">
        <f aca="false">SRC_Model!$K71</f>
        <v>0</v>
      </c>
      <c r="F254" s="90" t="n">
        <f aca="false">SRC_Model!$S71</f>
        <v>0</v>
      </c>
    </row>
    <row r="255" customFormat="false" ht="15" hidden="false" customHeight="false" outlineLevel="0" collapsed="false">
      <c r="A255" s="90" t="str">
        <f aca="false">SRC_Model!$A72&amp;""</f>
        <v/>
      </c>
      <c r="B255" s="59" t="s">
        <v>8327</v>
      </c>
      <c r="C255" s="58" t="n">
        <v>72</v>
      </c>
      <c r="D255" s="90" t="n">
        <f aca="false">SRC_Model!$O72</f>
        <v>0</v>
      </c>
      <c r="E255" s="90" t="n">
        <f aca="false">SRC_Model!$K72</f>
        <v>0</v>
      </c>
      <c r="F255" s="90" t="n">
        <f aca="false">SRC_Model!$S72</f>
        <v>0</v>
      </c>
    </row>
    <row r="256" customFormat="false" ht="15" hidden="false" customHeight="false" outlineLevel="0" collapsed="false">
      <c r="A256" s="90" t="str">
        <f aca="false">SRC_Model!$A73&amp;""</f>
        <v/>
      </c>
      <c r="B256" s="59" t="s">
        <v>8327</v>
      </c>
      <c r="C256" s="58" t="n">
        <v>73</v>
      </c>
      <c r="D256" s="90" t="n">
        <f aca="false">SRC_Model!$O73</f>
        <v>0</v>
      </c>
      <c r="E256" s="90" t="n">
        <f aca="false">SRC_Model!$K73</f>
        <v>0</v>
      </c>
      <c r="F256" s="90" t="n">
        <f aca="false">SRC_Model!$S73</f>
        <v>0</v>
      </c>
    </row>
    <row r="257" customFormat="false" ht="15" hidden="false" customHeight="false" outlineLevel="0" collapsed="false">
      <c r="A257" s="90" t="str">
        <f aca="false">SRC_Model!$A74&amp;""</f>
        <v/>
      </c>
      <c r="B257" s="59" t="s">
        <v>8327</v>
      </c>
      <c r="C257" s="58" t="n">
        <v>74</v>
      </c>
      <c r="D257" s="90" t="n">
        <f aca="false">SRC_Model!$O74</f>
        <v>0</v>
      </c>
      <c r="E257" s="90" t="n">
        <f aca="false">SRC_Model!$K74</f>
        <v>0</v>
      </c>
      <c r="F257" s="90" t="n">
        <f aca="false">SRC_Model!$S74</f>
        <v>0</v>
      </c>
    </row>
    <row r="258" customFormat="false" ht="15" hidden="false" customHeight="false" outlineLevel="0" collapsed="false">
      <c r="A258" s="90" t="str">
        <f aca="false">SRC_Model!$A75&amp;""</f>
        <v/>
      </c>
      <c r="B258" s="59" t="s">
        <v>8327</v>
      </c>
      <c r="C258" s="58" t="n">
        <v>75</v>
      </c>
      <c r="D258" s="90" t="n">
        <f aca="false">SRC_Model!$O75</f>
        <v>0</v>
      </c>
      <c r="E258" s="90" t="n">
        <f aca="false">SRC_Model!$K75</f>
        <v>0</v>
      </c>
      <c r="F258" s="90" t="n">
        <f aca="false">SRC_Model!$S75</f>
        <v>0</v>
      </c>
    </row>
    <row r="259" customFormat="false" ht="15" hidden="false" customHeight="false" outlineLevel="0" collapsed="false">
      <c r="A259" s="90" t="str">
        <f aca="false">SRC_Model!$A76&amp;""</f>
        <v/>
      </c>
      <c r="B259" s="59" t="s">
        <v>8327</v>
      </c>
      <c r="C259" s="58" t="n">
        <v>76</v>
      </c>
      <c r="D259" s="90" t="n">
        <f aca="false">SRC_Model!$O76</f>
        <v>0</v>
      </c>
      <c r="E259" s="90" t="n">
        <f aca="false">SRC_Model!$K76</f>
        <v>0</v>
      </c>
      <c r="F259" s="90" t="n">
        <f aca="false">SRC_Model!$S76</f>
        <v>0</v>
      </c>
    </row>
    <row r="260" customFormat="false" ht="15" hidden="false" customHeight="false" outlineLevel="0" collapsed="false">
      <c r="A260" s="90" t="str">
        <f aca="false">SRC_Model!$A77&amp;""</f>
        <v/>
      </c>
      <c r="B260" s="59" t="s">
        <v>8327</v>
      </c>
      <c r="C260" s="58" t="n">
        <v>77</v>
      </c>
      <c r="D260" s="90" t="n">
        <f aca="false">SRC_Model!$O77</f>
        <v>0</v>
      </c>
      <c r="E260" s="90" t="n">
        <f aca="false">SRC_Model!$K77</f>
        <v>0</v>
      </c>
      <c r="F260" s="90" t="n">
        <f aca="false">SRC_Model!$S77</f>
        <v>0</v>
      </c>
    </row>
    <row r="261" customFormat="false" ht="15" hidden="false" customHeight="false" outlineLevel="0" collapsed="false">
      <c r="A261" s="90" t="str">
        <f aca="false">SRC_Model!$A78&amp;""</f>
        <v/>
      </c>
      <c r="B261" s="59" t="s">
        <v>8327</v>
      </c>
      <c r="C261" s="58" t="n">
        <v>78</v>
      </c>
      <c r="D261" s="90" t="n">
        <f aca="false">SRC_Model!$O78</f>
        <v>0</v>
      </c>
      <c r="E261" s="90" t="n">
        <f aca="false">SRC_Model!$K78</f>
        <v>0</v>
      </c>
      <c r="F261" s="90" t="n">
        <f aca="false">SRC_Model!$S78</f>
        <v>0</v>
      </c>
    </row>
    <row r="262" customFormat="false" ht="15" hidden="false" customHeight="false" outlineLevel="0" collapsed="false">
      <c r="A262" s="90" t="str">
        <f aca="false">SRC_Model!$A79&amp;""</f>
        <v/>
      </c>
      <c r="B262" s="59" t="s">
        <v>8327</v>
      </c>
      <c r="C262" s="58" t="n">
        <v>79</v>
      </c>
      <c r="D262" s="90" t="n">
        <f aca="false">SRC_Model!$O79</f>
        <v>0</v>
      </c>
      <c r="E262" s="90" t="n">
        <f aca="false">SRC_Model!$K79</f>
        <v>0</v>
      </c>
      <c r="F262" s="90" t="n">
        <f aca="false">SRC_Model!$S79</f>
        <v>0</v>
      </c>
    </row>
    <row r="263" customFormat="false" ht="15" hidden="false" customHeight="false" outlineLevel="0" collapsed="false">
      <c r="A263" s="90" t="str">
        <f aca="false">SRC_Model!$A80&amp;""</f>
        <v/>
      </c>
      <c r="B263" s="59" t="s">
        <v>8327</v>
      </c>
      <c r="C263" s="58" t="n">
        <v>80</v>
      </c>
      <c r="D263" s="90" t="n">
        <f aca="false">SRC_Model!$O80</f>
        <v>0</v>
      </c>
      <c r="E263" s="90" t="n">
        <f aca="false">SRC_Model!$K80</f>
        <v>0</v>
      </c>
      <c r="F263" s="90" t="n">
        <f aca="false">SRC_Model!$S80</f>
        <v>0</v>
      </c>
    </row>
    <row r="264" customFormat="false" ht="15" hidden="false" customHeight="false" outlineLevel="0" collapsed="false">
      <c r="A264" s="90" t="str">
        <f aca="false">SRC_Model!$A81&amp;""</f>
        <v/>
      </c>
      <c r="B264" s="59" t="s">
        <v>8327</v>
      </c>
      <c r="C264" s="58" t="n">
        <v>81</v>
      </c>
      <c r="D264" s="90" t="n">
        <f aca="false">SRC_Model!$O81</f>
        <v>0</v>
      </c>
      <c r="E264" s="90" t="n">
        <f aca="false">SRC_Model!$K81</f>
        <v>0</v>
      </c>
      <c r="F264" s="90" t="n">
        <f aca="false">SRC_Model!$S81</f>
        <v>0</v>
      </c>
    </row>
    <row r="265" customFormat="false" ht="15" hidden="false" customHeight="false" outlineLevel="0" collapsed="false">
      <c r="A265" s="90" t="str">
        <f aca="false">SRC_Model!$A82&amp;""</f>
        <v/>
      </c>
      <c r="B265" s="59" t="s">
        <v>8327</v>
      </c>
      <c r="C265" s="58" t="n">
        <v>82</v>
      </c>
      <c r="D265" s="90" t="n">
        <f aca="false">SRC_Model!$O82</f>
        <v>0</v>
      </c>
      <c r="E265" s="90" t="n">
        <f aca="false">SRC_Model!$K82</f>
        <v>0</v>
      </c>
      <c r="F265" s="90" t="n">
        <f aca="false">SRC_Model!$S82</f>
        <v>0</v>
      </c>
    </row>
    <row r="266" customFormat="false" ht="15" hidden="false" customHeight="false" outlineLevel="0" collapsed="false">
      <c r="A266" s="90" t="str">
        <f aca="false">SRC_Model!$A83&amp;""</f>
        <v/>
      </c>
      <c r="B266" s="59" t="s">
        <v>8327</v>
      </c>
      <c r="C266" s="58" t="n">
        <v>83</v>
      </c>
      <c r="D266" s="90" t="n">
        <f aca="false">SRC_Model!$O83</f>
        <v>0</v>
      </c>
      <c r="E266" s="90" t="n">
        <f aca="false">SRC_Model!$K83</f>
        <v>0</v>
      </c>
      <c r="F266" s="90" t="n">
        <f aca="false">SRC_Model!$S83</f>
        <v>0</v>
      </c>
    </row>
    <row r="267" customFormat="false" ht="15" hidden="false" customHeight="false" outlineLevel="0" collapsed="false">
      <c r="A267" s="90" t="str">
        <f aca="false">SRC_Model!$A84&amp;""</f>
        <v/>
      </c>
      <c r="B267" s="59" t="s">
        <v>8327</v>
      </c>
      <c r="C267" s="58" t="n">
        <v>84</v>
      </c>
      <c r="D267" s="90" t="n">
        <f aca="false">SRC_Model!$O84</f>
        <v>0</v>
      </c>
      <c r="E267" s="90" t="n">
        <f aca="false">SRC_Model!$K84</f>
        <v>0</v>
      </c>
      <c r="F267" s="90" t="n">
        <f aca="false">SRC_Model!$S84</f>
        <v>0</v>
      </c>
    </row>
    <row r="268" customFormat="false" ht="15" hidden="false" customHeight="false" outlineLevel="0" collapsed="false">
      <c r="A268" s="90" t="str">
        <f aca="false">SRC_Model!$A85&amp;""</f>
        <v/>
      </c>
      <c r="B268" s="59" t="s">
        <v>8327</v>
      </c>
      <c r="C268" s="58" t="n">
        <v>85</v>
      </c>
      <c r="D268" s="90" t="n">
        <f aca="false">SRC_Model!$O85</f>
        <v>0</v>
      </c>
      <c r="E268" s="90" t="n">
        <f aca="false">SRC_Model!$K85</f>
        <v>0</v>
      </c>
      <c r="F268" s="90" t="n">
        <f aca="false">SRC_Model!$S85</f>
        <v>0</v>
      </c>
    </row>
    <row r="269" customFormat="false" ht="15" hidden="false" customHeight="false" outlineLevel="0" collapsed="false">
      <c r="A269" s="90" t="str">
        <f aca="false">SRC_Model!$A86&amp;""</f>
        <v/>
      </c>
      <c r="B269" s="59" t="s">
        <v>8327</v>
      </c>
      <c r="C269" s="58" t="n">
        <v>86</v>
      </c>
      <c r="D269" s="90" t="n">
        <f aca="false">SRC_Model!$O86</f>
        <v>0</v>
      </c>
      <c r="E269" s="90" t="n">
        <f aca="false">SRC_Model!$K86</f>
        <v>0</v>
      </c>
      <c r="F269" s="90" t="n">
        <f aca="false">SRC_Model!$S86</f>
        <v>0</v>
      </c>
    </row>
    <row r="270" customFormat="false" ht="15" hidden="false" customHeight="false" outlineLevel="0" collapsed="false">
      <c r="A270" s="90" t="str">
        <f aca="false">SRC_Model!$A87&amp;""</f>
        <v/>
      </c>
      <c r="B270" s="59" t="s">
        <v>8327</v>
      </c>
      <c r="C270" s="58" t="n">
        <v>87</v>
      </c>
      <c r="D270" s="90" t="n">
        <f aca="false">SRC_Model!$O87</f>
        <v>0</v>
      </c>
      <c r="E270" s="90" t="n">
        <f aca="false">SRC_Model!$K87</f>
        <v>0</v>
      </c>
      <c r="F270" s="90" t="n">
        <f aca="false">SRC_Model!$S87</f>
        <v>0</v>
      </c>
    </row>
    <row r="271" customFormat="false" ht="15" hidden="false" customHeight="false" outlineLevel="0" collapsed="false">
      <c r="A271" s="90" t="str">
        <f aca="false">SRC_Model!$A88&amp;""</f>
        <v/>
      </c>
      <c r="B271" s="59" t="s">
        <v>8327</v>
      </c>
      <c r="C271" s="58" t="n">
        <v>88</v>
      </c>
      <c r="D271" s="90" t="n">
        <f aca="false">SRC_Model!$O88</f>
        <v>0</v>
      </c>
      <c r="E271" s="90" t="n">
        <f aca="false">SRC_Model!$K88</f>
        <v>0</v>
      </c>
      <c r="F271" s="90" t="n">
        <f aca="false">SRC_Model!$S88</f>
        <v>0</v>
      </c>
    </row>
    <row r="272" customFormat="false" ht="15" hidden="false" customHeight="false" outlineLevel="0" collapsed="false">
      <c r="A272" s="90" t="str">
        <f aca="false">SRC_Model!$A89&amp;""</f>
        <v/>
      </c>
      <c r="B272" s="59" t="s">
        <v>8327</v>
      </c>
      <c r="C272" s="58" t="n">
        <v>89</v>
      </c>
      <c r="D272" s="90" t="n">
        <f aca="false">SRC_Model!$O89</f>
        <v>0</v>
      </c>
      <c r="E272" s="90" t="n">
        <f aca="false">SRC_Model!$K89</f>
        <v>0</v>
      </c>
      <c r="F272" s="90" t="n">
        <f aca="false">SRC_Model!$S89</f>
        <v>0</v>
      </c>
    </row>
    <row r="273" customFormat="false" ht="15" hidden="false" customHeight="false" outlineLevel="0" collapsed="false">
      <c r="A273" s="90" t="str">
        <f aca="false">SRC_Model!$A90&amp;""</f>
        <v/>
      </c>
      <c r="B273" s="59" t="s">
        <v>8327</v>
      </c>
      <c r="C273" s="58" t="n">
        <v>90</v>
      </c>
      <c r="D273" s="90" t="n">
        <f aca="false">SRC_Model!$O90</f>
        <v>0</v>
      </c>
      <c r="E273" s="90" t="n">
        <f aca="false">SRC_Model!$K90</f>
        <v>0</v>
      </c>
      <c r="F273" s="90" t="n">
        <f aca="false">SRC_Model!$S90</f>
        <v>0</v>
      </c>
    </row>
    <row r="274" customFormat="false" ht="15" hidden="false" customHeight="false" outlineLevel="0" collapsed="false">
      <c r="A274" s="90" t="str">
        <f aca="false">SRC_Model!$A91&amp;""</f>
        <v/>
      </c>
      <c r="B274" s="59" t="s">
        <v>8327</v>
      </c>
      <c r="C274" s="58" t="n">
        <v>91</v>
      </c>
      <c r="D274" s="90" t="n">
        <f aca="false">SRC_Model!$O91</f>
        <v>0</v>
      </c>
      <c r="E274" s="90" t="n">
        <f aca="false">SRC_Model!$K91</f>
        <v>0</v>
      </c>
      <c r="F274" s="90" t="n">
        <f aca="false">SRC_Model!$S91</f>
        <v>0</v>
      </c>
    </row>
    <row r="275" customFormat="false" ht="15" hidden="false" customHeight="false" outlineLevel="0" collapsed="false">
      <c r="A275" s="90" t="str">
        <f aca="false">SRC_Model!$A92&amp;""</f>
        <v/>
      </c>
      <c r="B275" s="59" t="s">
        <v>8327</v>
      </c>
      <c r="C275" s="58" t="n">
        <v>92</v>
      </c>
      <c r="D275" s="90" t="n">
        <f aca="false">SRC_Model!$O92</f>
        <v>0</v>
      </c>
      <c r="E275" s="90" t="n">
        <f aca="false">SRC_Model!$K92</f>
        <v>0</v>
      </c>
      <c r="F275" s="90" t="n">
        <f aca="false">SRC_Model!$S92</f>
        <v>0</v>
      </c>
    </row>
    <row r="276" customFormat="false" ht="15" hidden="false" customHeight="false" outlineLevel="0" collapsed="false">
      <c r="A276" s="90" t="str">
        <f aca="false">SRC_Model!$A93&amp;""</f>
        <v/>
      </c>
      <c r="B276" s="59" t="s">
        <v>8327</v>
      </c>
      <c r="C276" s="58" t="n">
        <v>93</v>
      </c>
      <c r="D276" s="90" t="n">
        <f aca="false">SRC_Model!$O93</f>
        <v>0</v>
      </c>
      <c r="E276" s="90" t="n">
        <f aca="false">SRC_Model!$K93</f>
        <v>0</v>
      </c>
      <c r="F276" s="90" t="n">
        <f aca="false">SRC_Model!$S93</f>
        <v>0</v>
      </c>
    </row>
    <row r="277" customFormat="false" ht="15" hidden="false" customHeight="false" outlineLevel="0" collapsed="false">
      <c r="A277" s="90" t="str">
        <f aca="false">SRC_Model!$A94&amp;""</f>
        <v/>
      </c>
      <c r="B277" s="59" t="s">
        <v>8327</v>
      </c>
      <c r="C277" s="58" t="n">
        <v>94</v>
      </c>
      <c r="D277" s="90" t="n">
        <f aca="false">SRC_Model!$O94</f>
        <v>0</v>
      </c>
      <c r="E277" s="90" t="n">
        <f aca="false">SRC_Model!$K94</f>
        <v>0</v>
      </c>
      <c r="F277" s="90" t="n">
        <f aca="false">SRC_Model!$S94</f>
        <v>0</v>
      </c>
    </row>
    <row r="278" customFormat="false" ht="15" hidden="false" customHeight="false" outlineLevel="0" collapsed="false">
      <c r="A278" s="90" t="str">
        <f aca="false">SRC_Model!$A95&amp;""</f>
        <v/>
      </c>
      <c r="B278" s="59" t="s">
        <v>8327</v>
      </c>
      <c r="C278" s="58" t="n">
        <v>95</v>
      </c>
      <c r="D278" s="90" t="n">
        <f aca="false">SRC_Model!$O95</f>
        <v>0</v>
      </c>
      <c r="E278" s="90" t="n">
        <f aca="false">SRC_Model!$K95</f>
        <v>0</v>
      </c>
      <c r="F278" s="90" t="n">
        <f aca="false">SRC_Model!$S95</f>
        <v>0</v>
      </c>
    </row>
    <row r="279" customFormat="false" ht="15" hidden="false" customHeight="false" outlineLevel="0" collapsed="false">
      <c r="A279" s="90" t="str">
        <f aca="false">SRC_Model!$A96&amp;""</f>
        <v/>
      </c>
      <c r="B279" s="59" t="s">
        <v>8327</v>
      </c>
      <c r="C279" s="58" t="n">
        <v>96</v>
      </c>
      <c r="D279" s="90" t="n">
        <f aca="false">SRC_Model!$O96</f>
        <v>0</v>
      </c>
      <c r="E279" s="90" t="n">
        <f aca="false">SRC_Model!$K96</f>
        <v>0</v>
      </c>
      <c r="F279" s="90" t="n">
        <f aca="false">SRC_Model!$S96</f>
        <v>0</v>
      </c>
    </row>
    <row r="280" customFormat="false" ht="15" hidden="false" customHeight="false" outlineLevel="0" collapsed="false">
      <c r="A280" s="90" t="str">
        <f aca="false">SRC_Model!$A97&amp;""</f>
        <v/>
      </c>
      <c r="B280" s="59" t="s">
        <v>8327</v>
      </c>
      <c r="C280" s="58" t="n">
        <v>97</v>
      </c>
      <c r="D280" s="90" t="n">
        <f aca="false">SRC_Model!$O97</f>
        <v>0</v>
      </c>
      <c r="E280" s="90" t="n">
        <f aca="false">SRC_Model!$K97</f>
        <v>0</v>
      </c>
      <c r="F280" s="90" t="n">
        <f aca="false">SRC_Model!$S97</f>
        <v>0</v>
      </c>
    </row>
    <row r="281" customFormat="false" ht="15" hidden="false" customHeight="false" outlineLevel="0" collapsed="false">
      <c r="A281" s="90" t="str">
        <f aca="false">SRC_Model!$A98&amp;""</f>
        <v/>
      </c>
      <c r="B281" s="59" t="s">
        <v>8327</v>
      </c>
      <c r="C281" s="58" t="n">
        <v>98</v>
      </c>
      <c r="D281" s="90" t="n">
        <f aca="false">SRC_Model!$O98</f>
        <v>0</v>
      </c>
      <c r="E281" s="90" t="n">
        <f aca="false">SRC_Model!$K98</f>
        <v>0</v>
      </c>
      <c r="F281" s="90" t="n">
        <f aca="false">SRC_Model!$S98</f>
        <v>0</v>
      </c>
    </row>
    <row r="282" customFormat="false" ht="15" hidden="false" customHeight="false" outlineLevel="0" collapsed="false">
      <c r="A282" s="90" t="str">
        <f aca="false">SRC_Model!$A99&amp;""</f>
        <v/>
      </c>
      <c r="B282" s="59" t="s">
        <v>8327</v>
      </c>
      <c r="C282" s="58" t="n">
        <v>99</v>
      </c>
      <c r="D282" s="90" t="n">
        <f aca="false">SRC_Model!$O99</f>
        <v>0</v>
      </c>
      <c r="E282" s="90" t="n">
        <f aca="false">SRC_Model!$K99</f>
        <v>0</v>
      </c>
      <c r="F282" s="90" t="n">
        <f aca="false">SRC_Model!$S99</f>
        <v>0</v>
      </c>
    </row>
    <row r="283" customFormat="false" ht="15" hidden="false" customHeight="false" outlineLevel="0" collapsed="false">
      <c r="A283" s="90" t="str">
        <f aca="false">SRC_Model!$A100&amp;""</f>
        <v/>
      </c>
      <c r="B283" s="59" t="s">
        <v>8327</v>
      </c>
      <c r="C283" s="58" t="n">
        <v>100</v>
      </c>
      <c r="D283" s="90" t="n">
        <f aca="false">SRC_Model!$O100</f>
        <v>0</v>
      </c>
      <c r="E283" s="90" t="n">
        <f aca="false">SRC_Model!$K100</f>
        <v>0</v>
      </c>
      <c r="F283" s="90" t="n">
        <f aca="false">SRC_Model!$S100</f>
        <v>0</v>
      </c>
    </row>
    <row r="284" customFormat="false" ht="15" hidden="false" customHeight="false" outlineLevel="0" collapsed="false">
      <c r="A284" s="90" t="str">
        <f aca="false">SRC_Model!$A101&amp;""</f>
        <v/>
      </c>
      <c r="B284" s="59" t="s">
        <v>8327</v>
      </c>
      <c r="C284" s="58" t="n">
        <v>101</v>
      </c>
      <c r="D284" s="90" t="n">
        <f aca="false">SRC_Model!$O101</f>
        <v>0</v>
      </c>
      <c r="E284" s="90" t="n">
        <f aca="false">SRC_Model!$K101</f>
        <v>0</v>
      </c>
      <c r="F284" s="90" t="n">
        <f aca="false">SRC_Model!$S101</f>
        <v>0</v>
      </c>
    </row>
    <row r="285" customFormat="false" ht="15" hidden="false" customHeight="false" outlineLevel="0" collapsed="false">
      <c r="A285" s="90" t="str">
        <f aca="false">SRC_Model!$A102&amp;""</f>
        <v/>
      </c>
      <c r="B285" s="59" t="s">
        <v>8327</v>
      </c>
      <c r="C285" s="58" t="n">
        <v>102</v>
      </c>
      <c r="D285" s="90" t="n">
        <f aca="false">SRC_Model!$O102</f>
        <v>0</v>
      </c>
      <c r="E285" s="90" t="n">
        <f aca="false">SRC_Model!$K102</f>
        <v>0</v>
      </c>
      <c r="F285" s="90" t="n">
        <f aca="false">SRC_Model!$S102</f>
        <v>0</v>
      </c>
    </row>
    <row r="286" customFormat="false" ht="15" hidden="false" customHeight="false" outlineLevel="0" collapsed="false">
      <c r="A286" s="90" t="str">
        <f aca="false">SRC_Model!$A103&amp;""</f>
        <v/>
      </c>
      <c r="B286" s="59" t="s">
        <v>8327</v>
      </c>
      <c r="C286" s="58" t="n">
        <v>103</v>
      </c>
      <c r="D286" s="90" t="n">
        <f aca="false">SRC_Model!$O103</f>
        <v>0</v>
      </c>
      <c r="E286" s="90" t="n">
        <f aca="false">SRC_Model!$K103</f>
        <v>0</v>
      </c>
      <c r="F286" s="90" t="n">
        <f aca="false">SRC_Model!$S103</f>
        <v>0</v>
      </c>
    </row>
    <row r="287" customFormat="false" ht="15" hidden="false" customHeight="false" outlineLevel="0" collapsed="false">
      <c r="A287" s="90" t="str">
        <f aca="false">SRC_Model!$A104&amp;""</f>
        <v/>
      </c>
      <c r="B287" s="59" t="s">
        <v>8327</v>
      </c>
      <c r="C287" s="58" t="n">
        <v>104</v>
      </c>
      <c r="D287" s="90" t="n">
        <f aca="false">SRC_Model!$O104</f>
        <v>0</v>
      </c>
      <c r="E287" s="90" t="n">
        <f aca="false">SRC_Model!$K104</f>
        <v>0</v>
      </c>
      <c r="F287" s="90" t="n">
        <f aca="false">SRC_Model!$S104</f>
        <v>0</v>
      </c>
    </row>
    <row r="288" customFormat="false" ht="15" hidden="false" customHeight="false" outlineLevel="0" collapsed="false">
      <c r="A288" s="90" t="str">
        <f aca="false">SRC_Model!$A105&amp;""</f>
        <v/>
      </c>
      <c r="B288" s="59" t="s">
        <v>8327</v>
      </c>
      <c r="C288" s="58" t="n">
        <v>105</v>
      </c>
      <c r="D288" s="90" t="n">
        <f aca="false">SRC_Model!$O105</f>
        <v>0</v>
      </c>
      <c r="E288" s="90" t="n">
        <f aca="false">SRC_Model!$K105</f>
        <v>0</v>
      </c>
      <c r="F288" s="90" t="n">
        <f aca="false">SRC_Model!$S105</f>
        <v>0</v>
      </c>
    </row>
    <row r="289" customFormat="false" ht="15" hidden="false" customHeight="false" outlineLevel="0" collapsed="false">
      <c r="A289" s="90" t="str">
        <f aca="false">SRC_Model!$A106&amp;""</f>
        <v/>
      </c>
      <c r="B289" s="59" t="s">
        <v>8327</v>
      </c>
      <c r="C289" s="58" t="n">
        <v>106</v>
      </c>
      <c r="D289" s="90" t="n">
        <f aca="false">SRC_Model!$O106</f>
        <v>0</v>
      </c>
      <c r="E289" s="90" t="n">
        <f aca="false">SRC_Model!$K106</f>
        <v>0</v>
      </c>
      <c r="F289" s="90" t="n">
        <f aca="false">SRC_Model!$S106</f>
        <v>0</v>
      </c>
    </row>
    <row r="290" customFormat="false" ht="15" hidden="false" customHeight="false" outlineLevel="0" collapsed="false">
      <c r="A290" s="90" t="str">
        <f aca="false">SRC_Model!$A107&amp;""</f>
        <v/>
      </c>
      <c r="B290" s="59" t="s">
        <v>8327</v>
      </c>
      <c r="C290" s="58" t="n">
        <v>107</v>
      </c>
      <c r="D290" s="90" t="n">
        <f aca="false">SRC_Model!$O107</f>
        <v>0</v>
      </c>
      <c r="E290" s="90" t="n">
        <f aca="false">SRC_Model!$K107</f>
        <v>0</v>
      </c>
      <c r="F290" s="90" t="n">
        <f aca="false">SRC_Model!$S107</f>
        <v>0</v>
      </c>
    </row>
    <row r="291" customFormat="false" ht="15" hidden="false" customHeight="false" outlineLevel="0" collapsed="false">
      <c r="A291" s="90" t="str">
        <f aca="false">SRC_Model!$A108&amp;""</f>
        <v/>
      </c>
      <c r="B291" s="59" t="s">
        <v>8327</v>
      </c>
      <c r="C291" s="58" t="n">
        <v>108</v>
      </c>
      <c r="D291" s="90" t="n">
        <f aca="false">SRC_Model!$O108</f>
        <v>0</v>
      </c>
      <c r="E291" s="90" t="n">
        <f aca="false">SRC_Model!$K108</f>
        <v>0</v>
      </c>
      <c r="F291" s="90" t="n">
        <f aca="false">SRC_Model!$S108</f>
        <v>0</v>
      </c>
    </row>
    <row r="292" customFormat="false" ht="15" hidden="false" customHeight="false" outlineLevel="0" collapsed="false">
      <c r="A292" s="90" t="str">
        <f aca="false">SRC_Model!$A109&amp;""</f>
        <v/>
      </c>
      <c r="B292" s="59" t="s">
        <v>8327</v>
      </c>
      <c r="C292" s="58" t="n">
        <v>109</v>
      </c>
      <c r="D292" s="90" t="n">
        <f aca="false">SRC_Model!$O109</f>
        <v>0</v>
      </c>
      <c r="E292" s="90" t="n">
        <f aca="false">SRC_Model!$K109</f>
        <v>0</v>
      </c>
      <c r="F292" s="90" t="n">
        <f aca="false">SRC_Model!$S109</f>
        <v>0</v>
      </c>
    </row>
    <row r="293" customFormat="false" ht="15" hidden="false" customHeight="false" outlineLevel="0" collapsed="false">
      <c r="A293" s="90" t="str">
        <f aca="false">SRC_Model!$A110&amp;""</f>
        <v/>
      </c>
      <c r="B293" s="59" t="s">
        <v>8327</v>
      </c>
      <c r="C293" s="58" t="n">
        <v>110</v>
      </c>
      <c r="D293" s="90" t="n">
        <f aca="false">SRC_Model!$O110</f>
        <v>0</v>
      </c>
      <c r="E293" s="90" t="n">
        <f aca="false">SRC_Model!$K110</f>
        <v>0</v>
      </c>
      <c r="F293" s="90" t="n">
        <f aca="false">SRC_Model!$S110</f>
        <v>0</v>
      </c>
    </row>
    <row r="294" customFormat="false" ht="15" hidden="false" customHeight="false" outlineLevel="0" collapsed="false">
      <c r="A294" s="90" t="str">
        <f aca="false">SRC_Model!$A111&amp;""</f>
        <v/>
      </c>
      <c r="B294" s="59" t="s">
        <v>8327</v>
      </c>
      <c r="C294" s="58" t="n">
        <v>111</v>
      </c>
      <c r="D294" s="90" t="n">
        <f aca="false">SRC_Model!$O111</f>
        <v>0</v>
      </c>
      <c r="E294" s="90" t="n">
        <f aca="false">SRC_Model!$K111</f>
        <v>0</v>
      </c>
      <c r="F294" s="90" t="n">
        <f aca="false">SRC_Model!$S111</f>
        <v>0</v>
      </c>
    </row>
    <row r="295" customFormat="false" ht="15" hidden="false" customHeight="false" outlineLevel="0" collapsed="false">
      <c r="A295" s="90" t="str">
        <f aca="false">SRC_Model!$A112&amp;""</f>
        <v/>
      </c>
      <c r="B295" s="59" t="s">
        <v>8327</v>
      </c>
      <c r="C295" s="58" t="n">
        <v>112</v>
      </c>
      <c r="D295" s="90" t="n">
        <f aca="false">SRC_Model!$O112</f>
        <v>0</v>
      </c>
      <c r="E295" s="90" t="n">
        <f aca="false">SRC_Model!$K112</f>
        <v>0</v>
      </c>
      <c r="F295" s="90" t="n">
        <f aca="false">SRC_Model!$S112</f>
        <v>0</v>
      </c>
    </row>
    <row r="296" customFormat="false" ht="15" hidden="false" customHeight="false" outlineLevel="0" collapsed="false">
      <c r="A296" s="90" t="str">
        <f aca="false">SRC_Model!$A113&amp;""</f>
        <v/>
      </c>
      <c r="B296" s="59" t="s">
        <v>8327</v>
      </c>
      <c r="C296" s="58" t="n">
        <v>113</v>
      </c>
      <c r="D296" s="90" t="n">
        <f aca="false">SRC_Model!$O113</f>
        <v>0</v>
      </c>
      <c r="E296" s="90" t="n">
        <f aca="false">SRC_Model!$K113</f>
        <v>0</v>
      </c>
      <c r="F296" s="90" t="n">
        <f aca="false">SRC_Model!$S113</f>
        <v>0</v>
      </c>
    </row>
    <row r="297" customFormat="false" ht="15" hidden="false" customHeight="false" outlineLevel="0" collapsed="false">
      <c r="A297" s="90" t="str">
        <f aca="false">SRC_Model!$A114&amp;""</f>
        <v/>
      </c>
      <c r="B297" s="59" t="s">
        <v>8327</v>
      </c>
      <c r="C297" s="58" t="n">
        <v>114</v>
      </c>
      <c r="D297" s="90" t="n">
        <f aca="false">SRC_Model!$O114</f>
        <v>0</v>
      </c>
      <c r="E297" s="90" t="n">
        <f aca="false">SRC_Model!$K114</f>
        <v>0</v>
      </c>
      <c r="F297" s="90" t="n">
        <f aca="false">SRC_Model!$S114</f>
        <v>0</v>
      </c>
    </row>
    <row r="298" customFormat="false" ht="15" hidden="false" customHeight="false" outlineLevel="0" collapsed="false">
      <c r="A298" s="90" t="str">
        <f aca="false">SRC_Model!$A115&amp;""</f>
        <v/>
      </c>
      <c r="B298" s="59" t="s">
        <v>8327</v>
      </c>
      <c r="C298" s="58" t="n">
        <v>115</v>
      </c>
      <c r="D298" s="90" t="n">
        <f aca="false">SRC_Model!$O115</f>
        <v>0</v>
      </c>
      <c r="E298" s="90" t="n">
        <f aca="false">SRC_Model!$K115</f>
        <v>0</v>
      </c>
      <c r="F298" s="90" t="n">
        <f aca="false">SRC_Model!$S115</f>
        <v>0</v>
      </c>
    </row>
    <row r="299" customFormat="false" ht="15" hidden="false" customHeight="false" outlineLevel="0" collapsed="false">
      <c r="A299" s="90" t="str">
        <f aca="false">SRC_Perf!$A5&amp;""</f>
        <v>SRC_PERF_001</v>
      </c>
      <c r="B299" s="59" t="s">
        <v>8328</v>
      </c>
      <c r="C299" s="58" t="n">
        <v>5</v>
      </c>
      <c r="D299" s="90" t="str">
        <f aca="false">SRC_Perf!$O5</f>
        <v>Active</v>
      </c>
      <c r="E299" s="90" t="n">
        <f aca="false">SRC_Perf!$K5</f>
        <v>1</v>
      </c>
      <c r="F299" s="90" t="str">
        <f aca="false">SRC_Perf!$S5</f>
        <v>—</v>
      </c>
    </row>
    <row r="300" customFormat="false" ht="15" hidden="false" customHeight="false" outlineLevel="0" collapsed="false">
      <c r="A300" s="90" t="str">
        <f aca="false">SRC_Perf!$A6&amp;""</f>
        <v>SRC_PERF_002</v>
      </c>
      <c r="B300" s="59" t="s">
        <v>8328</v>
      </c>
      <c r="C300" s="58" t="n">
        <v>6</v>
      </c>
      <c r="D300" s="90" t="str">
        <f aca="false">SRC_Perf!$O6</f>
        <v>Active</v>
      </c>
      <c r="E300" s="90" t="n">
        <f aca="false">SRC_Perf!$K6</f>
        <v>1</v>
      </c>
      <c r="F300" s="90" t="str">
        <f aca="false">SRC_Perf!$S6</f>
        <v>—</v>
      </c>
    </row>
    <row r="301" customFormat="false" ht="15" hidden="false" customHeight="false" outlineLevel="0" collapsed="false">
      <c r="A301" s="90" t="str">
        <f aca="false">SRC_Perf!$A7&amp;""</f>
        <v>SRC_PERF_003</v>
      </c>
      <c r="B301" s="59" t="s">
        <v>8328</v>
      </c>
      <c r="C301" s="58" t="n">
        <v>7</v>
      </c>
      <c r="D301" s="90" t="str">
        <f aca="false">SRC_Perf!$O7</f>
        <v>Active</v>
      </c>
      <c r="E301" s="90" t="n">
        <f aca="false">SRC_Perf!$K7</f>
        <v>1</v>
      </c>
      <c r="F301" s="90" t="str">
        <f aca="false">SRC_Perf!$S7</f>
        <v>—</v>
      </c>
    </row>
    <row r="302" customFormat="false" ht="15" hidden="false" customHeight="false" outlineLevel="0" collapsed="false">
      <c r="A302" s="90" t="str">
        <f aca="false">SRC_Perf!$A8&amp;""</f>
        <v>SRC_PERF_004</v>
      </c>
      <c r="B302" s="59" t="s">
        <v>8328</v>
      </c>
      <c r="C302" s="58" t="n">
        <v>8</v>
      </c>
      <c r="D302" s="90" t="str">
        <f aca="false">SRC_Perf!$O8</f>
        <v>Active</v>
      </c>
      <c r="E302" s="90" t="n">
        <f aca="false">SRC_Perf!$K8</f>
        <v>1</v>
      </c>
      <c r="F302" s="90" t="str">
        <f aca="false">SRC_Perf!$S8</f>
        <v>—</v>
      </c>
    </row>
    <row r="303" customFormat="false" ht="15" hidden="false" customHeight="false" outlineLevel="0" collapsed="false">
      <c r="A303" s="90" t="str">
        <f aca="false">SRC_Perf!$A9&amp;""</f>
        <v>SRC_PERF_005</v>
      </c>
      <c r="B303" s="59" t="s">
        <v>8328</v>
      </c>
      <c r="C303" s="58" t="n">
        <v>9</v>
      </c>
      <c r="D303" s="90" t="str">
        <f aca="false">SRC_Perf!$O9</f>
        <v>Active</v>
      </c>
      <c r="E303" s="90" t="n">
        <f aca="false">SRC_Perf!$K9</f>
        <v>1</v>
      </c>
      <c r="F303" s="90" t="str">
        <f aca="false">SRC_Perf!$S9</f>
        <v>—</v>
      </c>
    </row>
    <row r="304" customFormat="false" ht="15" hidden="false" customHeight="false" outlineLevel="0" collapsed="false">
      <c r="A304" s="90" t="str">
        <f aca="false">SRC_Perf!$A10&amp;""</f>
        <v>SRC_PERF_006</v>
      </c>
      <c r="B304" s="59" t="s">
        <v>8328</v>
      </c>
      <c r="C304" s="58" t="n">
        <v>10</v>
      </c>
      <c r="D304" s="90" t="str">
        <f aca="false">SRC_Perf!$O10</f>
        <v>Superseded</v>
      </c>
      <c r="E304" s="90" t="n">
        <f aca="false">SRC_Perf!$K10</f>
        <v>1</v>
      </c>
      <c r="F304" s="90" t="str">
        <f aca="false">SRC_Perf!$S10</f>
        <v>—</v>
      </c>
    </row>
    <row r="305" customFormat="false" ht="15" hidden="false" customHeight="false" outlineLevel="0" collapsed="false">
      <c r="A305" s="90" t="str">
        <f aca="false">SRC_Perf!$A11&amp;""</f>
        <v>SRC_PERF_007</v>
      </c>
      <c r="B305" s="59" t="s">
        <v>8328</v>
      </c>
      <c r="C305" s="58" t="n">
        <v>11</v>
      </c>
      <c r="D305" s="90" t="str">
        <f aca="false">SRC_Perf!$O11</f>
        <v>Active</v>
      </c>
      <c r="E305" s="90" t="n">
        <f aca="false">SRC_Perf!$K11</f>
        <v>1</v>
      </c>
      <c r="F305" s="90" t="str">
        <f aca="false">SRC_Perf!$S11</f>
        <v>—</v>
      </c>
    </row>
    <row r="306" customFormat="false" ht="15" hidden="false" customHeight="false" outlineLevel="0" collapsed="false">
      <c r="A306" s="90" t="str">
        <f aca="false">SRC_Perf!$A12&amp;""</f>
        <v>SRC_PERF_008</v>
      </c>
      <c r="B306" s="59" t="s">
        <v>8328</v>
      </c>
      <c r="C306" s="58" t="n">
        <v>12</v>
      </c>
      <c r="D306" s="90" t="str">
        <f aca="false">SRC_Perf!$O12</f>
        <v>Active</v>
      </c>
      <c r="E306" s="90" t="n">
        <f aca="false">SRC_Perf!$K12</f>
        <v>1</v>
      </c>
      <c r="F306" s="90" t="str">
        <f aca="false">SRC_Perf!$S12</f>
        <v>—</v>
      </c>
    </row>
    <row r="307" customFormat="false" ht="15" hidden="false" customHeight="false" outlineLevel="0" collapsed="false">
      <c r="A307" s="90" t="str">
        <f aca="false">SRC_Perf!$A13&amp;""</f>
        <v>SRC_PERF_009</v>
      </c>
      <c r="B307" s="59" t="s">
        <v>8328</v>
      </c>
      <c r="C307" s="58" t="n">
        <v>13</v>
      </c>
      <c r="D307" s="90" t="str">
        <f aca="false">SRC_Perf!$O13</f>
        <v>Active</v>
      </c>
      <c r="E307" s="90" t="n">
        <f aca="false">SRC_Perf!$K13</f>
        <v>2</v>
      </c>
      <c r="F307" s="90" t="str">
        <f aca="false">SRC_Perf!$S13</f>
        <v>2026-10-05</v>
      </c>
    </row>
    <row r="308" customFormat="false" ht="15" hidden="false" customHeight="false" outlineLevel="0" collapsed="false">
      <c r="A308" s="90" t="str">
        <f aca="false">SRC_Perf!$A14&amp;""</f>
        <v>SRC_PERF_010</v>
      </c>
      <c r="B308" s="59" t="s">
        <v>8328</v>
      </c>
      <c r="C308" s="58" t="n">
        <v>14</v>
      </c>
      <c r="D308" s="90" t="str">
        <f aca="false">SRC_Perf!$O14</f>
        <v>Active</v>
      </c>
      <c r="E308" s="90" t="n">
        <f aca="false">SRC_Perf!$K14</f>
        <v>2</v>
      </c>
      <c r="F308" s="90" t="str">
        <f aca="false">SRC_Perf!$S14</f>
        <v>2026-10-05</v>
      </c>
    </row>
    <row r="309" customFormat="false" ht="15" hidden="false" customHeight="false" outlineLevel="0" collapsed="false">
      <c r="A309" s="90" t="str">
        <f aca="false">SRC_Perf!$A15&amp;""</f>
        <v>SRC_PERF_011</v>
      </c>
      <c r="B309" s="59" t="s">
        <v>8328</v>
      </c>
      <c r="C309" s="58" t="n">
        <v>15</v>
      </c>
      <c r="D309" s="90" t="str">
        <f aca="false">SRC_Perf!$O15</f>
        <v>Active</v>
      </c>
      <c r="E309" s="90" t="n">
        <f aca="false">SRC_Perf!$K15</f>
        <v>3</v>
      </c>
      <c r="F309" s="90" t="str">
        <f aca="false">SRC_Perf!$S15</f>
        <v>—</v>
      </c>
    </row>
    <row r="310" customFormat="false" ht="15" hidden="false" customHeight="false" outlineLevel="0" collapsed="false">
      <c r="A310" s="90" t="str">
        <f aca="false">SRC_Perf!$A16&amp;""</f>
        <v>SRC_PERF_012</v>
      </c>
      <c r="B310" s="59" t="s">
        <v>8328</v>
      </c>
      <c r="C310" s="58" t="n">
        <v>16</v>
      </c>
      <c r="D310" s="90" t="str">
        <f aca="false">SRC_Perf!$O16</f>
        <v>Active</v>
      </c>
      <c r="E310" s="90" t="n">
        <f aca="false">SRC_Perf!$K16</f>
        <v>3</v>
      </c>
      <c r="F310" s="90" t="str">
        <f aca="false">SRC_Perf!$S16</f>
        <v>—</v>
      </c>
    </row>
    <row r="311" customFormat="false" ht="15" hidden="false" customHeight="false" outlineLevel="0" collapsed="false">
      <c r="A311" s="90" t="str">
        <f aca="false">SRC_Perf!$A17&amp;""</f>
        <v>SRC_PERF_013</v>
      </c>
      <c r="B311" s="59" t="s">
        <v>8328</v>
      </c>
      <c r="C311" s="58" t="n">
        <v>17</v>
      </c>
      <c r="D311" s="90" t="str">
        <f aca="false">SRC_Perf!$O17</f>
        <v>Active</v>
      </c>
      <c r="E311" s="90" t="n">
        <f aca="false">SRC_Perf!$K17</f>
        <v>3</v>
      </c>
      <c r="F311" s="90" t="str">
        <f aca="false">SRC_Perf!$S17</f>
        <v>—</v>
      </c>
    </row>
    <row r="312" customFormat="false" ht="15" hidden="false" customHeight="false" outlineLevel="0" collapsed="false">
      <c r="A312" s="90" t="str">
        <f aca="false">SRC_Perf!$A18&amp;""</f>
        <v>SRC_PERF_014</v>
      </c>
      <c r="B312" s="59" t="s">
        <v>8328</v>
      </c>
      <c r="C312" s="58" t="n">
        <v>18</v>
      </c>
      <c r="D312" s="90" t="str">
        <f aca="false">SRC_Perf!$O18</f>
        <v>Active</v>
      </c>
      <c r="E312" s="90" t="n">
        <f aca="false">SRC_Perf!$K18</f>
        <v>1</v>
      </c>
      <c r="F312" s="90" t="str">
        <f aca="false">SRC_Perf!$S18</f>
        <v>—</v>
      </c>
    </row>
    <row r="313" customFormat="false" ht="15" hidden="false" customHeight="false" outlineLevel="0" collapsed="false">
      <c r="A313" s="90" t="str">
        <f aca="false">SRC_Perf!$A19&amp;""</f>
        <v>SRC_PERF_015</v>
      </c>
      <c r="B313" s="59" t="s">
        <v>8328</v>
      </c>
      <c r="C313" s="58" t="n">
        <v>19</v>
      </c>
      <c r="D313" s="90" t="str">
        <f aca="false">SRC_Perf!$O19</f>
        <v>Active</v>
      </c>
      <c r="E313" s="90" t="n">
        <f aca="false">SRC_Perf!$K19</f>
        <v>1</v>
      </c>
      <c r="F313" s="90" t="str">
        <f aca="false">SRC_Perf!$S19</f>
        <v>—</v>
      </c>
    </row>
    <row r="314" customFormat="false" ht="15" hidden="false" customHeight="false" outlineLevel="0" collapsed="false">
      <c r="A314" s="90" t="str">
        <f aca="false">SRC_Perf!$A20&amp;""</f>
        <v>SRC_PERF_016</v>
      </c>
      <c r="B314" s="59" t="s">
        <v>8328</v>
      </c>
      <c r="C314" s="58" t="n">
        <v>20</v>
      </c>
      <c r="D314" s="90" t="str">
        <f aca="false">SRC_Perf!$O20</f>
        <v>Active</v>
      </c>
      <c r="E314" s="90" t="n">
        <f aca="false">SRC_Perf!$K20</f>
        <v>1</v>
      </c>
      <c r="F314" s="90" t="str">
        <f aca="false">SRC_Perf!$S20</f>
        <v>—</v>
      </c>
    </row>
    <row r="315" customFormat="false" ht="15" hidden="false" customHeight="false" outlineLevel="0" collapsed="false">
      <c r="A315" s="90" t="str">
        <f aca="false">SRC_Perf!$A21&amp;""</f>
        <v>SRC_PERF_017</v>
      </c>
      <c r="B315" s="59" t="s">
        <v>8328</v>
      </c>
      <c r="C315" s="58" t="n">
        <v>21</v>
      </c>
      <c r="D315" s="90" t="str">
        <f aca="false">SRC_Perf!$O21</f>
        <v>Active</v>
      </c>
      <c r="E315" s="90" t="n">
        <f aca="false">SRC_Perf!$K21</f>
        <v>1</v>
      </c>
      <c r="F315" s="90" t="str">
        <f aca="false">SRC_Perf!$S21</f>
        <v>—</v>
      </c>
    </row>
    <row r="316" customFormat="false" ht="15" hidden="false" customHeight="false" outlineLevel="0" collapsed="false">
      <c r="A316" s="90" t="str">
        <f aca="false">SRC_Perf!$A22&amp;""</f>
        <v>SRC_PERF_018</v>
      </c>
      <c r="B316" s="59" t="s">
        <v>8328</v>
      </c>
      <c r="C316" s="58" t="n">
        <v>22</v>
      </c>
      <c r="D316" s="90" t="str">
        <f aca="false">SRC_Perf!$O22</f>
        <v>Active</v>
      </c>
      <c r="E316" s="90" t="n">
        <f aca="false">SRC_Perf!$K22</f>
        <v>1</v>
      </c>
      <c r="F316" s="90" t="str">
        <f aca="false">SRC_Perf!$S22</f>
        <v>—</v>
      </c>
    </row>
    <row r="317" customFormat="false" ht="15" hidden="false" customHeight="false" outlineLevel="0" collapsed="false">
      <c r="A317" s="90" t="str">
        <f aca="false">SRC_Perf!$A23&amp;""</f>
        <v>SRC_PERF_019</v>
      </c>
      <c r="B317" s="59" t="s">
        <v>8328</v>
      </c>
      <c r="C317" s="58" t="n">
        <v>23</v>
      </c>
      <c r="D317" s="90" t="str">
        <f aca="false">SRC_Perf!$O23</f>
        <v>Active</v>
      </c>
      <c r="E317" s="90" t="n">
        <f aca="false">SRC_Perf!$K23</f>
        <v>1</v>
      </c>
      <c r="F317" s="90" t="str">
        <f aca="false">SRC_Perf!$S23</f>
        <v>—</v>
      </c>
    </row>
    <row r="318" customFormat="false" ht="15" hidden="false" customHeight="false" outlineLevel="0" collapsed="false">
      <c r="A318" s="90" t="str">
        <f aca="false">SRC_Perf!$A24&amp;""</f>
        <v>SRC_PERF_020</v>
      </c>
      <c r="B318" s="59" t="s">
        <v>8328</v>
      </c>
      <c r="C318" s="58" t="n">
        <v>24</v>
      </c>
      <c r="D318" s="90" t="str">
        <f aca="false">SRC_Perf!$O24</f>
        <v>Active</v>
      </c>
      <c r="E318" s="90" t="n">
        <f aca="false">SRC_Perf!$K24</f>
        <v>1</v>
      </c>
      <c r="F318" s="90" t="str">
        <f aca="false">SRC_Perf!$S24</f>
        <v>—</v>
      </c>
    </row>
    <row r="319" customFormat="false" ht="15" hidden="false" customHeight="false" outlineLevel="0" collapsed="false">
      <c r="A319" s="90" t="str">
        <f aca="false">SRC_Perf!$A25&amp;""</f>
        <v>SRC_PERF_021</v>
      </c>
      <c r="B319" s="59" t="s">
        <v>8328</v>
      </c>
      <c r="C319" s="58" t="n">
        <v>25</v>
      </c>
      <c r="D319" s="90" t="str">
        <f aca="false">SRC_Perf!$O25</f>
        <v>Active</v>
      </c>
      <c r="E319" s="90" t="n">
        <f aca="false">SRC_Perf!$K25</f>
        <v>1</v>
      </c>
      <c r="F319" s="90" t="str">
        <f aca="false">SRC_Perf!$S25</f>
        <v>—</v>
      </c>
    </row>
    <row r="320" customFormat="false" ht="15" hidden="false" customHeight="false" outlineLevel="0" collapsed="false">
      <c r="A320" s="90" t="str">
        <f aca="false">SRC_Perf!$A26&amp;""</f>
        <v>SRC_PERF_022</v>
      </c>
      <c r="B320" s="59" t="s">
        <v>8328</v>
      </c>
      <c r="C320" s="58" t="n">
        <v>26</v>
      </c>
      <c r="D320" s="90" t="str">
        <f aca="false">SRC_Perf!$O26</f>
        <v>Active</v>
      </c>
      <c r="E320" s="90" t="n">
        <f aca="false">SRC_Perf!$K26</f>
        <v>1</v>
      </c>
      <c r="F320" s="90" t="str">
        <f aca="false">SRC_Perf!$S26</f>
        <v>—</v>
      </c>
    </row>
    <row r="321" customFormat="false" ht="15" hidden="false" customHeight="false" outlineLevel="0" collapsed="false">
      <c r="A321" s="90" t="str">
        <f aca="false">SRC_Perf!$A27&amp;""</f>
        <v>SRC_PERF_023</v>
      </c>
      <c r="B321" s="59" t="s">
        <v>8328</v>
      </c>
      <c r="C321" s="58" t="n">
        <v>27</v>
      </c>
      <c r="D321" s="90" t="str">
        <f aca="false">SRC_Perf!$O27</f>
        <v>Active</v>
      </c>
      <c r="E321" s="90" t="n">
        <f aca="false">SRC_Perf!$K27</f>
        <v>3</v>
      </c>
      <c r="F321" s="90" t="str">
        <f aca="false">SRC_Perf!$S27</f>
        <v>—</v>
      </c>
    </row>
    <row r="322" customFormat="false" ht="15" hidden="false" customHeight="false" outlineLevel="0" collapsed="false">
      <c r="A322" s="90" t="str">
        <f aca="false">SRC_Perf!$A28&amp;""</f>
        <v>SRC_PERF_024</v>
      </c>
      <c r="B322" s="59" t="s">
        <v>8328</v>
      </c>
      <c r="C322" s="58" t="n">
        <v>28</v>
      </c>
      <c r="D322" s="90" t="str">
        <f aca="false">SRC_Perf!$O28</f>
        <v>Active</v>
      </c>
      <c r="E322" s="90" t="n">
        <f aca="false">SRC_Perf!$K28</f>
        <v>2</v>
      </c>
      <c r="F322" s="90" t="str">
        <f aca="false">SRC_Perf!$S28</f>
        <v>—</v>
      </c>
    </row>
    <row r="323" customFormat="false" ht="15" hidden="false" customHeight="false" outlineLevel="0" collapsed="false">
      <c r="A323" s="90" t="str">
        <f aca="false">SRC_Perf!$A29&amp;""</f>
        <v>SRC_PERF_025</v>
      </c>
      <c r="B323" s="59" t="s">
        <v>8328</v>
      </c>
      <c r="C323" s="58" t="n">
        <v>29</v>
      </c>
      <c r="D323" s="90" t="str">
        <f aca="false">SRC_Perf!$O29</f>
        <v>Active</v>
      </c>
      <c r="E323" s="90" t="n">
        <f aca="false">SRC_Perf!$K29</f>
        <v>2</v>
      </c>
      <c r="F323" s="90" t="str">
        <f aca="false">SRC_Perf!$S29</f>
        <v>—</v>
      </c>
    </row>
    <row r="324" customFormat="false" ht="15" hidden="false" customHeight="false" outlineLevel="0" collapsed="false">
      <c r="A324" s="90" t="str">
        <f aca="false">SRC_Perf!$A30&amp;""</f>
        <v>SRC_PERF_026</v>
      </c>
      <c r="B324" s="59" t="s">
        <v>8328</v>
      </c>
      <c r="C324" s="58" t="n">
        <v>30</v>
      </c>
      <c r="D324" s="90" t="str">
        <f aca="false">SRC_Perf!$O30</f>
        <v>Active</v>
      </c>
      <c r="E324" s="90" t="n">
        <f aca="false">SRC_Perf!$K30</f>
        <v>2</v>
      </c>
      <c r="F324" s="90" t="str">
        <f aca="false">SRC_Perf!$S30</f>
        <v>—</v>
      </c>
    </row>
    <row r="325" customFormat="false" ht="15" hidden="false" customHeight="false" outlineLevel="0" collapsed="false">
      <c r="A325" s="90" t="str">
        <f aca="false">SRC_Perf!$A31&amp;""</f>
        <v>SRC_PERF_027</v>
      </c>
      <c r="B325" s="59" t="s">
        <v>8328</v>
      </c>
      <c r="C325" s="58" t="n">
        <v>31</v>
      </c>
      <c r="D325" s="90" t="str">
        <f aca="false">SRC_Perf!$O31</f>
        <v>Active</v>
      </c>
      <c r="E325" s="90" t="n">
        <f aca="false">SRC_Perf!$K31</f>
        <v>1</v>
      </c>
      <c r="F325" s="90" t="str">
        <f aca="false">SRC_Perf!$S31</f>
        <v>2026-10-06</v>
      </c>
    </row>
    <row r="326" customFormat="false" ht="15" hidden="false" customHeight="false" outlineLevel="0" collapsed="false">
      <c r="A326" s="90" t="str">
        <f aca="false">SRC_Perf!$A32&amp;""</f>
        <v>SRC_PERF_028</v>
      </c>
      <c r="B326" s="59" t="s">
        <v>8328</v>
      </c>
      <c r="C326" s="58" t="n">
        <v>32</v>
      </c>
      <c r="D326" s="90" t="str">
        <f aca="false">SRC_Perf!$O32</f>
        <v>Active</v>
      </c>
      <c r="E326" s="90" t="n">
        <f aca="false">SRC_Perf!$K32</f>
        <v>1</v>
      </c>
      <c r="F326" s="90" t="str">
        <f aca="false">SRC_Perf!$S32</f>
        <v>2026-10-06</v>
      </c>
    </row>
    <row r="327" customFormat="false" ht="15" hidden="false" customHeight="false" outlineLevel="0" collapsed="false">
      <c r="A327" s="90" t="str">
        <f aca="false">SRC_Perf!$A33&amp;""</f>
        <v>SRC_PERF_029</v>
      </c>
      <c r="B327" s="59" t="s">
        <v>8328</v>
      </c>
      <c r="C327" s="58" t="n">
        <v>33</v>
      </c>
      <c r="D327" s="90" t="str">
        <f aca="false">SRC_Perf!$O33</f>
        <v>Active</v>
      </c>
      <c r="E327" s="90" t="n">
        <f aca="false">SRC_Perf!$K33</f>
        <v>1</v>
      </c>
      <c r="F327" s="90" t="str">
        <f aca="false">SRC_Perf!$S33</f>
        <v>—</v>
      </c>
    </row>
    <row r="328" customFormat="false" ht="15" hidden="false" customHeight="false" outlineLevel="0" collapsed="false">
      <c r="A328" s="90" t="str">
        <f aca="false">SRC_Perf!$A34&amp;""</f>
        <v>SRC_PERF_030</v>
      </c>
      <c r="B328" s="59" t="s">
        <v>8328</v>
      </c>
      <c r="C328" s="58" t="n">
        <v>34</v>
      </c>
      <c r="D328" s="90" t="str">
        <f aca="false">SRC_Perf!$O34</f>
        <v>Active</v>
      </c>
      <c r="E328" s="90" t="n">
        <f aca="false">SRC_Perf!$K34</f>
        <v>1</v>
      </c>
      <c r="F328" s="90" t="str">
        <f aca="false">SRC_Perf!$S34</f>
        <v>—</v>
      </c>
    </row>
    <row r="329" customFormat="false" ht="15" hidden="false" customHeight="false" outlineLevel="0" collapsed="false">
      <c r="A329" s="90" t="str">
        <f aca="false">SRC_Perf!$A35&amp;""</f>
        <v>SRC_PERF_031</v>
      </c>
      <c r="B329" s="59" t="s">
        <v>8328</v>
      </c>
      <c r="C329" s="58" t="n">
        <v>35</v>
      </c>
      <c r="D329" s="90" t="str">
        <f aca="false">SRC_Perf!$O35</f>
        <v>Active</v>
      </c>
      <c r="E329" s="90" t="n">
        <f aca="false">SRC_Perf!$K35</f>
        <v>1</v>
      </c>
      <c r="F329" s="90" t="str">
        <f aca="false">SRC_Perf!$S35</f>
        <v>—</v>
      </c>
    </row>
    <row r="330" customFormat="false" ht="15" hidden="false" customHeight="false" outlineLevel="0" collapsed="false">
      <c r="A330" s="90" t="str">
        <f aca="false">SRC_Perf!$A36&amp;""</f>
        <v>SRC_PERF_032</v>
      </c>
      <c r="B330" s="59" t="s">
        <v>8328</v>
      </c>
      <c r="C330" s="58" t="n">
        <v>36</v>
      </c>
      <c r="D330" s="90" t="str">
        <f aca="false">SRC_Perf!$O36</f>
        <v>Active</v>
      </c>
      <c r="E330" s="90" t="n">
        <f aca="false">SRC_Perf!$K36</f>
        <v>1</v>
      </c>
      <c r="F330" s="90" t="str">
        <f aca="false">SRC_Perf!$S36</f>
        <v>—</v>
      </c>
    </row>
    <row r="331" customFormat="false" ht="15" hidden="false" customHeight="false" outlineLevel="0" collapsed="false">
      <c r="A331" s="90" t="str">
        <f aca="false">SRC_Perf!$A37&amp;""</f>
        <v>SRC_PERF_033</v>
      </c>
      <c r="B331" s="59" t="s">
        <v>8328</v>
      </c>
      <c r="C331" s="58" t="n">
        <v>37</v>
      </c>
      <c r="D331" s="90" t="str">
        <f aca="false">SRC_Perf!$O37</f>
        <v>Active</v>
      </c>
      <c r="E331" s="90" t="n">
        <f aca="false">SRC_Perf!$K37</f>
        <v>1</v>
      </c>
      <c r="F331" s="90" t="str">
        <f aca="false">SRC_Perf!$S37</f>
        <v>—</v>
      </c>
    </row>
    <row r="332" customFormat="false" ht="15" hidden="false" customHeight="false" outlineLevel="0" collapsed="false">
      <c r="A332" s="90" t="str">
        <f aca="false">SRC_Perf!$A38&amp;""</f>
        <v>SRC_PERF_034</v>
      </c>
      <c r="B332" s="59" t="s">
        <v>8328</v>
      </c>
      <c r="C332" s="58" t="n">
        <v>38</v>
      </c>
      <c r="D332" s="90" t="str">
        <f aca="false">SRC_Perf!$O38</f>
        <v>Active</v>
      </c>
      <c r="E332" s="90" t="n">
        <f aca="false">SRC_Perf!$K38</f>
        <v>1</v>
      </c>
      <c r="F332" s="90" t="str">
        <f aca="false">SRC_Perf!$S38</f>
        <v>—</v>
      </c>
    </row>
    <row r="333" customFormat="false" ht="15" hidden="false" customHeight="false" outlineLevel="0" collapsed="false">
      <c r="A333" s="90" t="str">
        <f aca="false">SRC_Perf!$A39&amp;""</f>
        <v>SRC_PERF_035</v>
      </c>
      <c r="B333" s="59" t="s">
        <v>8328</v>
      </c>
      <c r="C333" s="58" t="n">
        <v>39</v>
      </c>
      <c r="D333" s="90" t="str">
        <f aca="false">SRC_Perf!$O39</f>
        <v>Active</v>
      </c>
      <c r="E333" s="90" t="n">
        <f aca="false">SRC_Perf!$K39</f>
        <v>1</v>
      </c>
      <c r="F333" s="90" t="str">
        <f aca="false">SRC_Perf!$S39</f>
        <v>—</v>
      </c>
    </row>
    <row r="334" customFormat="false" ht="15" hidden="false" customHeight="false" outlineLevel="0" collapsed="false">
      <c r="A334" s="90" t="str">
        <f aca="false">SRC_Perf!$A40&amp;""</f>
        <v>SRC_PERF_036</v>
      </c>
      <c r="B334" s="59" t="s">
        <v>8328</v>
      </c>
      <c r="C334" s="58" t="n">
        <v>40</v>
      </c>
      <c r="D334" s="90" t="str">
        <f aca="false">SRC_Perf!$O40</f>
        <v>Active</v>
      </c>
      <c r="E334" s="90" t="n">
        <f aca="false">SRC_Perf!$K40</f>
        <v>1</v>
      </c>
      <c r="F334" s="90" t="str">
        <f aca="false">SRC_Perf!$S40</f>
        <v>2026-10-05</v>
      </c>
    </row>
    <row r="335" customFormat="false" ht="15" hidden="false" customHeight="false" outlineLevel="0" collapsed="false">
      <c r="A335" s="90" t="str">
        <f aca="false">SRC_Perf!$A41&amp;""</f>
        <v>SRC_PERF_037</v>
      </c>
      <c r="B335" s="59" t="s">
        <v>8328</v>
      </c>
      <c r="C335" s="58" t="n">
        <v>41</v>
      </c>
      <c r="D335" s="90" t="str">
        <f aca="false">SRC_Perf!$O41</f>
        <v>Active</v>
      </c>
      <c r="E335" s="90" t="n">
        <f aca="false">SRC_Perf!$K41</f>
        <v>1</v>
      </c>
      <c r="F335" s="90" t="str">
        <f aca="false">SRC_Perf!$S41</f>
        <v>2026-10-05</v>
      </c>
    </row>
    <row r="336" customFormat="false" ht="15" hidden="false" customHeight="false" outlineLevel="0" collapsed="false">
      <c r="A336" s="90" t="str">
        <f aca="false">SRC_Perf!$A42&amp;""</f>
        <v>SRC_PERF_038</v>
      </c>
      <c r="B336" s="59" t="s">
        <v>8328</v>
      </c>
      <c r="C336" s="58" t="n">
        <v>42</v>
      </c>
      <c r="D336" s="90" t="str">
        <f aca="false">SRC_Perf!$O42</f>
        <v>Active</v>
      </c>
      <c r="E336" s="90" t="n">
        <f aca="false">SRC_Perf!$K42</f>
        <v>1</v>
      </c>
      <c r="F336" s="90" t="str">
        <f aca="false">SRC_Perf!$S42</f>
        <v>—</v>
      </c>
    </row>
    <row r="337" customFormat="false" ht="15" hidden="false" customHeight="false" outlineLevel="0" collapsed="false">
      <c r="A337" s="90" t="str">
        <f aca="false">SRC_Perf!$A43&amp;""</f>
        <v>SRC_PERF_039</v>
      </c>
      <c r="B337" s="59" t="s">
        <v>8328</v>
      </c>
      <c r="C337" s="58" t="n">
        <v>43</v>
      </c>
      <c r="D337" s="90" t="str">
        <f aca="false">SRC_Perf!$O43</f>
        <v>Active</v>
      </c>
      <c r="E337" s="90" t="n">
        <f aca="false">SRC_Perf!$K43</f>
        <v>1</v>
      </c>
      <c r="F337" s="90" t="str">
        <f aca="false">SRC_Perf!$S43</f>
        <v>—</v>
      </c>
    </row>
    <row r="338" customFormat="false" ht="15" hidden="false" customHeight="false" outlineLevel="0" collapsed="false">
      <c r="A338" s="90" t="str">
        <f aca="false">SRC_Perf!$A44&amp;""</f>
        <v>SRC_PERF_040</v>
      </c>
      <c r="B338" s="59" t="s">
        <v>8328</v>
      </c>
      <c r="C338" s="58" t="n">
        <v>44</v>
      </c>
      <c r="D338" s="90" t="str">
        <f aca="false">SRC_Perf!$O44</f>
        <v>Active</v>
      </c>
      <c r="E338" s="90" t="n">
        <f aca="false">SRC_Perf!$K44</f>
        <v>1</v>
      </c>
      <c r="F338" s="90" t="str">
        <f aca="false">SRC_Perf!$S44</f>
        <v>—</v>
      </c>
    </row>
    <row r="339" customFormat="false" ht="15" hidden="false" customHeight="false" outlineLevel="0" collapsed="false">
      <c r="A339" s="90" t="str">
        <f aca="false">SRC_Perf!$A45&amp;""</f>
        <v>SRC_PERF_041</v>
      </c>
      <c r="B339" s="59" t="s">
        <v>8328</v>
      </c>
      <c r="C339" s="58" t="n">
        <v>45</v>
      </c>
      <c r="D339" s="90" t="str">
        <f aca="false">SRC_Perf!$O45</f>
        <v>Active</v>
      </c>
      <c r="E339" s="90" t="n">
        <f aca="false">SRC_Perf!$K45</f>
        <v>1</v>
      </c>
      <c r="F339" s="90" t="str">
        <f aca="false">SRC_Perf!$S45</f>
        <v>—</v>
      </c>
    </row>
    <row r="340" customFormat="false" ht="15" hidden="false" customHeight="false" outlineLevel="0" collapsed="false">
      <c r="A340" s="90" t="str">
        <f aca="false">SRC_Perf!$A46&amp;""</f>
        <v>SRC_PERF_042</v>
      </c>
      <c r="B340" s="59" t="s">
        <v>8328</v>
      </c>
      <c r="C340" s="58" t="n">
        <v>46</v>
      </c>
      <c r="D340" s="90" t="str">
        <f aca="false">SRC_Perf!$O46</f>
        <v>Active</v>
      </c>
      <c r="E340" s="90" t="n">
        <f aca="false">SRC_Perf!$K46</f>
        <v>1</v>
      </c>
      <c r="F340" s="90" t="str">
        <f aca="false">SRC_Perf!$S46</f>
        <v>—</v>
      </c>
    </row>
    <row r="341" customFormat="false" ht="15" hidden="false" customHeight="false" outlineLevel="0" collapsed="false">
      <c r="A341" s="90" t="str">
        <f aca="false">SRC_Perf!$A47&amp;""</f>
        <v>SRC_PERF_043</v>
      </c>
      <c r="B341" s="59" t="s">
        <v>8328</v>
      </c>
      <c r="C341" s="58" t="n">
        <v>47</v>
      </c>
      <c r="D341" s="90" t="str">
        <f aca="false">SRC_Perf!$O47</f>
        <v>Active</v>
      </c>
      <c r="E341" s="90" t="n">
        <f aca="false">SRC_Perf!$K47</f>
        <v>1</v>
      </c>
      <c r="F341" s="90" t="str">
        <f aca="false">SRC_Perf!$S47</f>
        <v>—</v>
      </c>
    </row>
    <row r="342" customFormat="false" ht="15" hidden="false" customHeight="false" outlineLevel="0" collapsed="false">
      <c r="A342" s="90" t="str">
        <f aca="false">SRC_Perf!$A48&amp;""</f>
        <v>SRC_PERF_044</v>
      </c>
      <c r="B342" s="59" t="s">
        <v>8328</v>
      </c>
      <c r="C342" s="58" t="n">
        <v>48</v>
      </c>
      <c r="D342" s="90" t="str">
        <f aca="false">SRC_Perf!$O48</f>
        <v>Active</v>
      </c>
      <c r="E342" s="90" t="n">
        <f aca="false">SRC_Perf!$K48</f>
        <v>1</v>
      </c>
      <c r="F342" s="90" t="str">
        <f aca="false">SRC_Perf!$S48</f>
        <v>—</v>
      </c>
    </row>
    <row r="343" customFormat="false" ht="15" hidden="false" customHeight="false" outlineLevel="0" collapsed="false">
      <c r="A343" s="90" t="str">
        <f aca="false">SRC_Perf!$A49&amp;""</f>
        <v>SRC_PERF_045</v>
      </c>
      <c r="B343" s="59" t="s">
        <v>8328</v>
      </c>
      <c r="C343" s="58" t="n">
        <v>49</v>
      </c>
      <c r="D343" s="90" t="str">
        <f aca="false">SRC_Perf!$O49</f>
        <v>Active</v>
      </c>
      <c r="E343" s="90" t="n">
        <f aca="false">SRC_Perf!$K49</f>
        <v>1</v>
      </c>
      <c r="F343" s="90" t="str">
        <f aca="false">SRC_Perf!$S49</f>
        <v>—</v>
      </c>
    </row>
    <row r="344" customFormat="false" ht="15" hidden="false" customHeight="false" outlineLevel="0" collapsed="false">
      <c r="A344" s="90" t="str">
        <f aca="false">SRC_Perf!$A50&amp;""</f>
        <v>SRC_PERF_046</v>
      </c>
      <c r="B344" s="59" t="s">
        <v>8328</v>
      </c>
      <c r="C344" s="58" t="n">
        <v>50</v>
      </c>
      <c r="D344" s="90" t="str">
        <f aca="false">SRC_Perf!$O50</f>
        <v>Active</v>
      </c>
      <c r="E344" s="90" t="n">
        <f aca="false">SRC_Perf!$K50</f>
        <v>1</v>
      </c>
      <c r="F344" s="90" t="str">
        <f aca="false">SRC_Perf!$S50</f>
        <v>—</v>
      </c>
    </row>
    <row r="345" customFormat="false" ht="15" hidden="false" customHeight="false" outlineLevel="0" collapsed="false">
      <c r="A345" s="90" t="str">
        <f aca="false">SRC_Perf!$A51&amp;""</f>
        <v>SRC_PERF_047</v>
      </c>
      <c r="B345" s="59" t="s">
        <v>8328</v>
      </c>
      <c r="C345" s="58" t="n">
        <v>51</v>
      </c>
      <c r="D345" s="90" t="str">
        <f aca="false">SRC_Perf!$O51</f>
        <v>Active</v>
      </c>
      <c r="E345" s="90" t="n">
        <f aca="false">SRC_Perf!$K51</f>
        <v>1</v>
      </c>
      <c r="F345" s="90" t="str">
        <f aca="false">SRC_Perf!$S51</f>
        <v>—</v>
      </c>
    </row>
    <row r="346" customFormat="false" ht="15" hidden="false" customHeight="false" outlineLevel="0" collapsed="false">
      <c r="A346" s="90" t="str">
        <f aca="false">SRC_Perf!$A52&amp;""</f>
        <v>SRC_PERF_048</v>
      </c>
      <c r="B346" s="59" t="s">
        <v>8328</v>
      </c>
      <c r="C346" s="58" t="n">
        <v>52</v>
      </c>
      <c r="D346" s="90" t="str">
        <f aca="false">SRC_Perf!$O52</f>
        <v>Active</v>
      </c>
      <c r="E346" s="90" t="n">
        <f aca="false">SRC_Perf!$K52</f>
        <v>1</v>
      </c>
      <c r="F346" s="90" t="str">
        <f aca="false">SRC_Perf!$S52</f>
        <v>—</v>
      </c>
    </row>
    <row r="347" customFormat="false" ht="15" hidden="false" customHeight="false" outlineLevel="0" collapsed="false">
      <c r="A347" s="90" t="str">
        <f aca="false">SRC_Perf!$A53&amp;""</f>
        <v>SRC_PERF_049</v>
      </c>
      <c r="B347" s="59" t="s">
        <v>8328</v>
      </c>
      <c r="C347" s="58" t="n">
        <v>53</v>
      </c>
      <c r="D347" s="90" t="str">
        <f aca="false">SRC_Perf!$O53</f>
        <v>Active</v>
      </c>
      <c r="E347" s="90" t="n">
        <f aca="false">SRC_Perf!$K53</f>
        <v>1</v>
      </c>
      <c r="F347" s="90" t="str">
        <f aca="false">SRC_Perf!$S53</f>
        <v>—</v>
      </c>
    </row>
    <row r="348" customFormat="false" ht="15" hidden="false" customHeight="false" outlineLevel="0" collapsed="false">
      <c r="A348" s="90" t="str">
        <f aca="false">SRC_Perf!$A54&amp;""</f>
        <v>SRC_PERF_050</v>
      </c>
      <c r="B348" s="59" t="s">
        <v>8328</v>
      </c>
      <c r="C348" s="58" t="n">
        <v>54</v>
      </c>
      <c r="D348" s="90" t="str">
        <f aca="false">SRC_Perf!$O54</f>
        <v>Active</v>
      </c>
      <c r="E348" s="90" t="n">
        <f aca="false">SRC_Perf!$K54</f>
        <v>1</v>
      </c>
      <c r="F348" s="90" t="str">
        <f aca="false">SRC_Perf!$S54</f>
        <v>—</v>
      </c>
    </row>
    <row r="349" customFormat="false" ht="15" hidden="false" customHeight="false" outlineLevel="0" collapsed="false">
      <c r="A349" s="90" t="str">
        <f aca="false">SRC_Perf!$A55&amp;""</f>
        <v>SRC_PERF_051</v>
      </c>
      <c r="B349" s="59" t="s">
        <v>8328</v>
      </c>
      <c r="C349" s="58" t="n">
        <v>55</v>
      </c>
      <c r="D349" s="90" t="str">
        <f aca="false">SRC_Perf!$O55</f>
        <v>Active</v>
      </c>
      <c r="E349" s="90" t="n">
        <f aca="false">SRC_Perf!$K55</f>
        <v>1</v>
      </c>
      <c r="F349" s="90" t="str">
        <f aca="false">SRC_Perf!$S55</f>
        <v>—</v>
      </c>
    </row>
    <row r="350" customFormat="false" ht="15" hidden="false" customHeight="false" outlineLevel="0" collapsed="false">
      <c r="A350" s="90" t="str">
        <f aca="false">SRC_Perf!$A56&amp;""</f>
        <v>SRC_PERF_052</v>
      </c>
      <c r="B350" s="59" t="s">
        <v>8328</v>
      </c>
      <c r="C350" s="58" t="n">
        <v>56</v>
      </c>
      <c r="D350" s="90" t="str">
        <f aca="false">SRC_Perf!$O56</f>
        <v>Active</v>
      </c>
      <c r="E350" s="90" t="n">
        <f aca="false">SRC_Perf!$K56</f>
        <v>1</v>
      </c>
      <c r="F350" s="90" t="str">
        <f aca="false">SRC_Perf!$S56</f>
        <v>—</v>
      </c>
    </row>
    <row r="351" customFormat="false" ht="15" hidden="false" customHeight="false" outlineLevel="0" collapsed="false">
      <c r="A351" s="90" t="str">
        <f aca="false">SRC_Perf!$A57&amp;""</f>
        <v>SRC_PERF_053</v>
      </c>
      <c r="B351" s="59" t="s">
        <v>8328</v>
      </c>
      <c r="C351" s="58" t="n">
        <v>57</v>
      </c>
      <c r="D351" s="90" t="str">
        <f aca="false">SRC_Perf!$O57</f>
        <v>Active</v>
      </c>
      <c r="E351" s="90" t="n">
        <f aca="false">SRC_Perf!$K57</f>
        <v>1</v>
      </c>
      <c r="F351" s="90" t="str">
        <f aca="false">SRC_Perf!$S57</f>
        <v>—</v>
      </c>
    </row>
    <row r="352" customFormat="false" ht="15" hidden="false" customHeight="false" outlineLevel="0" collapsed="false">
      <c r="A352" s="90" t="str">
        <f aca="false">SRC_Perf!$A58&amp;""</f>
        <v>SRC_PERF_054</v>
      </c>
      <c r="B352" s="59" t="s">
        <v>8328</v>
      </c>
      <c r="C352" s="58" t="n">
        <v>58</v>
      </c>
      <c r="D352" s="90" t="str">
        <f aca="false">SRC_Perf!$O58</f>
        <v>Active</v>
      </c>
      <c r="E352" s="90" t="n">
        <f aca="false">SRC_Perf!$K58</f>
        <v>1</v>
      </c>
      <c r="F352" s="90" t="str">
        <f aca="false">SRC_Perf!$S58</f>
        <v>—</v>
      </c>
    </row>
    <row r="353" customFormat="false" ht="15" hidden="false" customHeight="false" outlineLevel="0" collapsed="false">
      <c r="A353" s="90" t="str">
        <f aca="false">SRC_Perf!$A59&amp;""</f>
        <v>SRC_PERF_055</v>
      </c>
      <c r="B353" s="59" t="s">
        <v>8328</v>
      </c>
      <c r="C353" s="58" t="n">
        <v>59</v>
      </c>
      <c r="D353" s="90" t="str">
        <f aca="false">SRC_Perf!$O59</f>
        <v>Active</v>
      </c>
      <c r="E353" s="90" t="n">
        <f aca="false">SRC_Perf!$K59</f>
        <v>1</v>
      </c>
      <c r="F353" s="90" t="str">
        <f aca="false">SRC_Perf!$S59</f>
        <v>—</v>
      </c>
    </row>
    <row r="354" customFormat="false" ht="15" hidden="false" customHeight="false" outlineLevel="0" collapsed="false">
      <c r="A354" s="90" t="str">
        <f aca="false">SRC_Perf!$A60&amp;""</f>
        <v>SRC_PERF_056</v>
      </c>
      <c r="B354" s="59" t="s">
        <v>8328</v>
      </c>
      <c r="C354" s="58" t="n">
        <v>60</v>
      </c>
      <c r="D354" s="90" t="str">
        <f aca="false">SRC_Perf!$O60</f>
        <v>Active</v>
      </c>
      <c r="E354" s="90" t="n">
        <f aca="false">SRC_Perf!$K60</f>
        <v>1</v>
      </c>
      <c r="F354" s="90" t="str">
        <f aca="false">SRC_Perf!$S60</f>
        <v>—</v>
      </c>
    </row>
    <row r="355" customFormat="false" ht="15" hidden="false" customHeight="false" outlineLevel="0" collapsed="false">
      <c r="A355" s="90" t="str">
        <f aca="false">SRC_Perf!$A61&amp;""</f>
        <v>SRC_PERF_057</v>
      </c>
      <c r="B355" s="59" t="s">
        <v>8328</v>
      </c>
      <c r="C355" s="58" t="n">
        <v>61</v>
      </c>
      <c r="D355" s="90" t="str">
        <f aca="false">SRC_Perf!$O61</f>
        <v>Active</v>
      </c>
      <c r="E355" s="90" t="n">
        <f aca="false">SRC_Perf!$K61</f>
        <v>1</v>
      </c>
      <c r="F355" s="90" t="str">
        <f aca="false">SRC_Perf!$S61</f>
        <v>—</v>
      </c>
    </row>
    <row r="356" customFormat="false" ht="15" hidden="false" customHeight="false" outlineLevel="0" collapsed="false">
      <c r="A356" s="90" t="str">
        <f aca="false">SRC_Perf!$A62&amp;""</f>
        <v>SRC_PERF_058</v>
      </c>
      <c r="B356" s="59" t="s">
        <v>8328</v>
      </c>
      <c r="C356" s="58" t="n">
        <v>62</v>
      </c>
      <c r="D356" s="90" t="str">
        <f aca="false">SRC_Perf!$O62</f>
        <v>Active</v>
      </c>
      <c r="E356" s="90" t="n">
        <f aca="false">SRC_Perf!$K62</f>
        <v>1</v>
      </c>
      <c r="F356" s="90" t="str">
        <f aca="false">SRC_Perf!$S62</f>
        <v>—</v>
      </c>
    </row>
    <row r="357" customFormat="false" ht="15" hidden="false" customHeight="false" outlineLevel="0" collapsed="false">
      <c r="A357" s="90" t="str">
        <f aca="false">SRC_Perf!$A63&amp;""</f>
        <v>SRC_PERF_059</v>
      </c>
      <c r="B357" s="59" t="s">
        <v>8328</v>
      </c>
      <c r="C357" s="58" t="n">
        <v>63</v>
      </c>
      <c r="D357" s="90" t="str">
        <f aca="false">SRC_Perf!$O63</f>
        <v>Active</v>
      </c>
      <c r="E357" s="90" t="n">
        <f aca="false">SRC_Perf!$K63</f>
        <v>1</v>
      </c>
      <c r="F357" s="90" t="str">
        <f aca="false">SRC_Perf!$S63</f>
        <v>—</v>
      </c>
    </row>
    <row r="358" customFormat="false" ht="15" hidden="false" customHeight="false" outlineLevel="0" collapsed="false">
      <c r="A358" s="90" t="str">
        <f aca="false">SRC_Perf!$A64&amp;""</f>
        <v/>
      </c>
      <c r="B358" s="59" t="s">
        <v>8328</v>
      </c>
      <c r="C358" s="58" t="n">
        <v>64</v>
      </c>
      <c r="D358" s="90" t="n">
        <f aca="false">SRC_Perf!$O64</f>
        <v>0</v>
      </c>
      <c r="E358" s="90" t="n">
        <f aca="false">SRC_Perf!$K64</f>
        <v>0</v>
      </c>
      <c r="F358" s="90" t="n">
        <f aca="false">SRC_Perf!$S64</f>
        <v>0</v>
      </c>
    </row>
    <row r="359" customFormat="false" ht="15" hidden="false" customHeight="false" outlineLevel="0" collapsed="false">
      <c r="A359" s="90" t="str">
        <f aca="false">SRC_Perf!$A65&amp;""</f>
        <v/>
      </c>
      <c r="B359" s="59" t="s">
        <v>8328</v>
      </c>
      <c r="C359" s="58" t="n">
        <v>65</v>
      </c>
      <c r="D359" s="90" t="n">
        <f aca="false">SRC_Perf!$O65</f>
        <v>0</v>
      </c>
      <c r="E359" s="90" t="n">
        <f aca="false">SRC_Perf!$K65</f>
        <v>0</v>
      </c>
      <c r="F359" s="90" t="n">
        <f aca="false">SRC_Perf!$S65</f>
        <v>0</v>
      </c>
    </row>
    <row r="360" customFormat="false" ht="15" hidden="false" customHeight="false" outlineLevel="0" collapsed="false">
      <c r="A360" s="90" t="str">
        <f aca="false">SRC_Perf!$A66&amp;""</f>
        <v/>
      </c>
      <c r="B360" s="59" t="s">
        <v>8328</v>
      </c>
      <c r="C360" s="58" t="n">
        <v>66</v>
      </c>
      <c r="D360" s="90" t="n">
        <f aca="false">SRC_Perf!$O66</f>
        <v>0</v>
      </c>
      <c r="E360" s="90" t="n">
        <f aca="false">SRC_Perf!$K66</f>
        <v>0</v>
      </c>
      <c r="F360" s="90" t="n">
        <f aca="false">SRC_Perf!$S66</f>
        <v>0</v>
      </c>
    </row>
    <row r="361" customFormat="false" ht="15" hidden="false" customHeight="false" outlineLevel="0" collapsed="false">
      <c r="A361" s="90" t="str">
        <f aca="false">SRC_Perf!$A67&amp;""</f>
        <v/>
      </c>
      <c r="B361" s="59" t="s">
        <v>8328</v>
      </c>
      <c r="C361" s="58" t="n">
        <v>67</v>
      </c>
      <c r="D361" s="90" t="n">
        <f aca="false">SRC_Perf!$O67</f>
        <v>0</v>
      </c>
      <c r="E361" s="90" t="n">
        <f aca="false">SRC_Perf!$K67</f>
        <v>0</v>
      </c>
      <c r="F361" s="90" t="n">
        <f aca="false">SRC_Perf!$S67</f>
        <v>0</v>
      </c>
    </row>
    <row r="362" customFormat="false" ht="15" hidden="false" customHeight="false" outlineLevel="0" collapsed="false">
      <c r="A362" s="90" t="str">
        <f aca="false">SRC_Perf!$A68&amp;""</f>
        <v/>
      </c>
      <c r="B362" s="59" t="s">
        <v>8328</v>
      </c>
      <c r="C362" s="58" t="n">
        <v>68</v>
      </c>
      <c r="D362" s="90" t="n">
        <f aca="false">SRC_Perf!$O68</f>
        <v>0</v>
      </c>
      <c r="E362" s="90" t="n">
        <f aca="false">SRC_Perf!$K68</f>
        <v>0</v>
      </c>
      <c r="F362" s="90" t="n">
        <f aca="false">SRC_Perf!$S68</f>
        <v>0</v>
      </c>
    </row>
    <row r="363" customFormat="false" ht="15" hidden="false" customHeight="false" outlineLevel="0" collapsed="false">
      <c r="A363" s="90" t="str">
        <f aca="false">SRC_Perf!$A69&amp;""</f>
        <v/>
      </c>
      <c r="B363" s="59" t="s">
        <v>8328</v>
      </c>
      <c r="C363" s="58" t="n">
        <v>69</v>
      </c>
      <c r="D363" s="90" t="n">
        <f aca="false">SRC_Perf!$O69</f>
        <v>0</v>
      </c>
      <c r="E363" s="90" t="n">
        <f aca="false">SRC_Perf!$K69</f>
        <v>0</v>
      </c>
      <c r="F363" s="90" t="n">
        <f aca="false">SRC_Perf!$S69</f>
        <v>0</v>
      </c>
    </row>
    <row r="364" customFormat="false" ht="15" hidden="false" customHeight="false" outlineLevel="0" collapsed="false">
      <c r="A364" s="90" t="str">
        <f aca="false">SRC_Perf!$A70&amp;""</f>
        <v/>
      </c>
      <c r="B364" s="59" t="s">
        <v>8328</v>
      </c>
      <c r="C364" s="58" t="n">
        <v>70</v>
      </c>
      <c r="D364" s="90" t="n">
        <f aca="false">SRC_Perf!$O70</f>
        <v>0</v>
      </c>
      <c r="E364" s="90" t="n">
        <f aca="false">SRC_Perf!$K70</f>
        <v>0</v>
      </c>
      <c r="F364" s="90" t="n">
        <f aca="false">SRC_Perf!$S70</f>
        <v>0</v>
      </c>
    </row>
    <row r="365" customFormat="false" ht="15" hidden="false" customHeight="false" outlineLevel="0" collapsed="false">
      <c r="A365" s="90" t="str">
        <f aca="false">SRC_Perf!$A71&amp;""</f>
        <v/>
      </c>
      <c r="B365" s="59" t="s">
        <v>8328</v>
      </c>
      <c r="C365" s="58" t="n">
        <v>71</v>
      </c>
      <c r="D365" s="90" t="n">
        <f aca="false">SRC_Perf!$O71</f>
        <v>0</v>
      </c>
      <c r="E365" s="90" t="n">
        <f aca="false">SRC_Perf!$K71</f>
        <v>0</v>
      </c>
      <c r="F365" s="90" t="n">
        <f aca="false">SRC_Perf!$S71</f>
        <v>0</v>
      </c>
    </row>
    <row r="366" customFormat="false" ht="15" hidden="false" customHeight="false" outlineLevel="0" collapsed="false">
      <c r="A366" s="90" t="str">
        <f aca="false">SRC_Perf!$A72&amp;""</f>
        <v/>
      </c>
      <c r="B366" s="59" t="s">
        <v>8328</v>
      </c>
      <c r="C366" s="58" t="n">
        <v>72</v>
      </c>
      <c r="D366" s="90" t="n">
        <f aca="false">SRC_Perf!$O72</f>
        <v>0</v>
      </c>
      <c r="E366" s="90" t="n">
        <f aca="false">SRC_Perf!$K72</f>
        <v>0</v>
      </c>
      <c r="F366" s="90" t="n">
        <f aca="false">SRC_Perf!$S72</f>
        <v>0</v>
      </c>
    </row>
    <row r="367" customFormat="false" ht="15" hidden="false" customHeight="false" outlineLevel="0" collapsed="false">
      <c r="A367" s="90" t="str">
        <f aca="false">SRC_Perf!$A73&amp;""</f>
        <v/>
      </c>
      <c r="B367" s="59" t="s">
        <v>8328</v>
      </c>
      <c r="C367" s="58" t="n">
        <v>73</v>
      </c>
      <c r="D367" s="90" t="n">
        <f aca="false">SRC_Perf!$O73</f>
        <v>0</v>
      </c>
      <c r="E367" s="90" t="n">
        <f aca="false">SRC_Perf!$K73</f>
        <v>0</v>
      </c>
      <c r="F367" s="90" t="n">
        <f aca="false">SRC_Perf!$S73</f>
        <v>0</v>
      </c>
    </row>
    <row r="368" customFormat="false" ht="15" hidden="false" customHeight="false" outlineLevel="0" collapsed="false">
      <c r="A368" s="90" t="str">
        <f aca="false">SRC_Perf!$A74&amp;""</f>
        <v/>
      </c>
      <c r="B368" s="59" t="s">
        <v>8328</v>
      </c>
      <c r="C368" s="58" t="n">
        <v>74</v>
      </c>
      <c r="D368" s="90" t="n">
        <f aca="false">SRC_Perf!$O74</f>
        <v>0</v>
      </c>
      <c r="E368" s="90" t="n">
        <f aca="false">SRC_Perf!$K74</f>
        <v>0</v>
      </c>
      <c r="F368" s="90" t="n">
        <f aca="false">SRC_Perf!$S74</f>
        <v>0</v>
      </c>
    </row>
    <row r="369" customFormat="false" ht="15" hidden="false" customHeight="false" outlineLevel="0" collapsed="false">
      <c r="A369" s="90" t="str">
        <f aca="false">SRC_Perf!$A75&amp;""</f>
        <v/>
      </c>
      <c r="B369" s="59" t="s">
        <v>8328</v>
      </c>
      <c r="C369" s="58" t="n">
        <v>75</v>
      </c>
      <c r="D369" s="90" t="n">
        <f aca="false">SRC_Perf!$O75</f>
        <v>0</v>
      </c>
      <c r="E369" s="90" t="n">
        <f aca="false">SRC_Perf!$K75</f>
        <v>0</v>
      </c>
      <c r="F369" s="90" t="n">
        <f aca="false">SRC_Perf!$S75</f>
        <v>0</v>
      </c>
    </row>
    <row r="370" customFormat="false" ht="15" hidden="false" customHeight="false" outlineLevel="0" collapsed="false">
      <c r="A370" s="90" t="str">
        <f aca="false">SRC_Perf!$A76&amp;""</f>
        <v/>
      </c>
      <c r="B370" s="59" t="s">
        <v>8328</v>
      </c>
      <c r="C370" s="58" t="n">
        <v>76</v>
      </c>
      <c r="D370" s="90" t="n">
        <f aca="false">SRC_Perf!$O76</f>
        <v>0</v>
      </c>
      <c r="E370" s="90" t="n">
        <f aca="false">SRC_Perf!$K76</f>
        <v>0</v>
      </c>
      <c r="F370" s="90" t="n">
        <f aca="false">SRC_Perf!$S76</f>
        <v>0</v>
      </c>
    </row>
    <row r="371" customFormat="false" ht="15" hidden="false" customHeight="false" outlineLevel="0" collapsed="false">
      <c r="A371" s="90" t="str">
        <f aca="false">SRC_Perf!$A77&amp;""</f>
        <v/>
      </c>
      <c r="B371" s="59" t="s">
        <v>8328</v>
      </c>
      <c r="C371" s="58" t="n">
        <v>77</v>
      </c>
      <c r="D371" s="90" t="n">
        <f aca="false">SRC_Perf!$O77</f>
        <v>0</v>
      </c>
      <c r="E371" s="90" t="n">
        <f aca="false">SRC_Perf!$K77</f>
        <v>0</v>
      </c>
      <c r="F371" s="90" t="n">
        <f aca="false">SRC_Perf!$S77</f>
        <v>0</v>
      </c>
    </row>
    <row r="372" customFormat="false" ht="15" hidden="false" customHeight="false" outlineLevel="0" collapsed="false">
      <c r="A372" s="90" t="str">
        <f aca="false">SRC_Perf!$A78&amp;""</f>
        <v/>
      </c>
      <c r="B372" s="59" t="s">
        <v>8328</v>
      </c>
      <c r="C372" s="58" t="n">
        <v>78</v>
      </c>
      <c r="D372" s="90" t="n">
        <f aca="false">SRC_Perf!$O78</f>
        <v>0</v>
      </c>
      <c r="E372" s="90" t="n">
        <f aca="false">SRC_Perf!$K78</f>
        <v>0</v>
      </c>
      <c r="F372" s="90" t="n">
        <f aca="false">SRC_Perf!$S78</f>
        <v>0</v>
      </c>
    </row>
    <row r="373" customFormat="false" ht="15" hidden="false" customHeight="false" outlineLevel="0" collapsed="false">
      <c r="A373" s="90" t="str">
        <f aca="false">SRC_Perf!$A79&amp;""</f>
        <v/>
      </c>
      <c r="B373" s="59" t="s">
        <v>8328</v>
      </c>
      <c r="C373" s="58" t="n">
        <v>79</v>
      </c>
      <c r="D373" s="90" t="n">
        <f aca="false">SRC_Perf!$O79</f>
        <v>0</v>
      </c>
      <c r="E373" s="90" t="n">
        <f aca="false">SRC_Perf!$K79</f>
        <v>0</v>
      </c>
      <c r="F373" s="90" t="n">
        <f aca="false">SRC_Perf!$S79</f>
        <v>0</v>
      </c>
    </row>
    <row r="374" customFormat="false" ht="15" hidden="false" customHeight="false" outlineLevel="0" collapsed="false">
      <c r="A374" s="90" t="str">
        <f aca="false">SRC_Perf!$A80&amp;""</f>
        <v/>
      </c>
      <c r="B374" s="59" t="s">
        <v>8328</v>
      </c>
      <c r="C374" s="58" t="n">
        <v>80</v>
      </c>
      <c r="D374" s="90" t="n">
        <f aca="false">SRC_Perf!$O80</f>
        <v>0</v>
      </c>
      <c r="E374" s="90" t="n">
        <f aca="false">SRC_Perf!$K80</f>
        <v>0</v>
      </c>
      <c r="F374" s="90" t="n">
        <f aca="false">SRC_Perf!$S80</f>
        <v>0</v>
      </c>
    </row>
    <row r="375" customFormat="false" ht="15" hidden="false" customHeight="false" outlineLevel="0" collapsed="false">
      <c r="A375" s="90" t="str">
        <f aca="false">SRC_Perf!$A81&amp;""</f>
        <v/>
      </c>
      <c r="B375" s="59" t="s">
        <v>8328</v>
      </c>
      <c r="C375" s="58" t="n">
        <v>81</v>
      </c>
      <c r="D375" s="90" t="n">
        <f aca="false">SRC_Perf!$O81</f>
        <v>0</v>
      </c>
      <c r="E375" s="90" t="n">
        <f aca="false">SRC_Perf!$K81</f>
        <v>0</v>
      </c>
      <c r="F375" s="90" t="n">
        <f aca="false">SRC_Perf!$S81</f>
        <v>0</v>
      </c>
    </row>
    <row r="376" customFormat="false" ht="15" hidden="false" customHeight="false" outlineLevel="0" collapsed="false">
      <c r="A376" s="90" t="str">
        <f aca="false">SRC_Perf!$A82&amp;""</f>
        <v/>
      </c>
      <c r="B376" s="59" t="s">
        <v>8328</v>
      </c>
      <c r="C376" s="58" t="n">
        <v>82</v>
      </c>
      <c r="D376" s="90" t="n">
        <f aca="false">SRC_Perf!$O82</f>
        <v>0</v>
      </c>
      <c r="E376" s="90" t="n">
        <f aca="false">SRC_Perf!$K82</f>
        <v>0</v>
      </c>
      <c r="F376" s="90" t="n">
        <f aca="false">SRC_Perf!$S82</f>
        <v>0</v>
      </c>
    </row>
    <row r="377" customFormat="false" ht="15" hidden="false" customHeight="false" outlineLevel="0" collapsed="false">
      <c r="A377" s="90" t="str">
        <f aca="false">SRC_Perf!$A83&amp;""</f>
        <v/>
      </c>
      <c r="B377" s="59" t="s">
        <v>8328</v>
      </c>
      <c r="C377" s="58" t="n">
        <v>83</v>
      </c>
      <c r="D377" s="90" t="n">
        <f aca="false">SRC_Perf!$O83</f>
        <v>0</v>
      </c>
      <c r="E377" s="90" t="n">
        <f aca="false">SRC_Perf!$K83</f>
        <v>0</v>
      </c>
      <c r="F377" s="90" t="n">
        <f aca="false">SRC_Perf!$S83</f>
        <v>0</v>
      </c>
    </row>
    <row r="378" customFormat="false" ht="15" hidden="false" customHeight="false" outlineLevel="0" collapsed="false">
      <c r="A378" s="90" t="str">
        <f aca="false">SRC_Perf!$A84&amp;""</f>
        <v/>
      </c>
      <c r="B378" s="59" t="s">
        <v>8328</v>
      </c>
      <c r="C378" s="58" t="n">
        <v>84</v>
      </c>
      <c r="D378" s="90" t="n">
        <f aca="false">SRC_Perf!$O84</f>
        <v>0</v>
      </c>
      <c r="E378" s="90" t="n">
        <f aca="false">SRC_Perf!$K84</f>
        <v>0</v>
      </c>
      <c r="F378" s="90" t="n">
        <f aca="false">SRC_Perf!$S84</f>
        <v>0</v>
      </c>
    </row>
    <row r="379" customFormat="false" ht="15" hidden="false" customHeight="false" outlineLevel="0" collapsed="false">
      <c r="A379" s="90" t="str">
        <f aca="false">SRC_Perf!$A85&amp;""</f>
        <v/>
      </c>
      <c r="B379" s="59" t="s">
        <v>8328</v>
      </c>
      <c r="C379" s="58" t="n">
        <v>85</v>
      </c>
      <c r="D379" s="90" t="n">
        <f aca="false">SRC_Perf!$O85</f>
        <v>0</v>
      </c>
      <c r="E379" s="90" t="n">
        <f aca="false">SRC_Perf!$K85</f>
        <v>0</v>
      </c>
      <c r="F379" s="90" t="n">
        <f aca="false">SRC_Perf!$S85</f>
        <v>0</v>
      </c>
    </row>
    <row r="380" customFormat="false" ht="15" hidden="false" customHeight="false" outlineLevel="0" collapsed="false">
      <c r="A380" s="90" t="str">
        <f aca="false">SRC_Perf!$A86&amp;""</f>
        <v/>
      </c>
      <c r="B380" s="59" t="s">
        <v>8328</v>
      </c>
      <c r="C380" s="58" t="n">
        <v>86</v>
      </c>
      <c r="D380" s="90" t="n">
        <f aca="false">SRC_Perf!$O86</f>
        <v>0</v>
      </c>
      <c r="E380" s="90" t="n">
        <f aca="false">SRC_Perf!$K86</f>
        <v>0</v>
      </c>
      <c r="F380" s="90" t="n">
        <f aca="false">SRC_Perf!$S86</f>
        <v>0</v>
      </c>
    </row>
    <row r="381" customFormat="false" ht="15" hidden="false" customHeight="false" outlineLevel="0" collapsed="false">
      <c r="A381" s="90" t="str">
        <f aca="false">SRC_Perf!$A87&amp;""</f>
        <v/>
      </c>
      <c r="B381" s="59" t="s">
        <v>8328</v>
      </c>
      <c r="C381" s="58" t="n">
        <v>87</v>
      </c>
      <c r="D381" s="90" t="n">
        <f aca="false">SRC_Perf!$O87</f>
        <v>0</v>
      </c>
      <c r="E381" s="90" t="n">
        <f aca="false">SRC_Perf!$K87</f>
        <v>0</v>
      </c>
      <c r="F381" s="90" t="n">
        <f aca="false">SRC_Perf!$S87</f>
        <v>0</v>
      </c>
    </row>
    <row r="382" customFormat="false" ht="15" hidden="false" customHeight="false" outlineLevel="0" collapsed="false">
      <c r="A382" s="90" t="str">
        <f aca="false">SRC_Perf!$A88&amp;""</f>
        <v/>
      </c>
      <c r="B382" s="59" t="s">
        <v>8328</v>
      </c>
      <c r="C382" s="58" t="n">
        <v>88</v>
      </c>
      <c r="D382" s="90" t="n">
        <f aca="false">SRC_Perf!$O88</f>
        <v>0</v>
      </c>
      <c r="E382" s="90" t="n">
        <f aca="false">SRC_Perf!$K88</f>
        <v>0</v>
      </c>
      <c r="F382" s="90" t="n">
        <f aca="false">SRC_Perf!$S88</f>
        <v>0</v>
      </c>
    </row>
    <row r="383" customFormat="false" ht="15" hidden="false" customHeight="false" outlineLevel="0" collapsed="false">
      <c r="A383" s="90" t="str">
        <f aca="false">SRC_Perf!$A89&amp;""</f>
        <v/>
      </c>
      <c r="B383" s="59" t="s">
        <v>8328</v>
      </c>
      <c r="C383" s="58" t="n">
        <v>89</v>
      </c>
      <c r="D383" s="90" t="n">
        <f aca="false">SRC_Perf!$O89</f>
        <v>0</v>
      </c>
      <c r="E383" s="90" t="n">
        <f aca="false">SRC_Perf!$K89</f>
        <v>0</v>
      </c>
      <c r="F383" s="90" t="n">
        <f aca="false">SRC_Perf!$S89</f>
        <v>0</v>
      </c>
    </row>
    <row r="384" customFormat="false" ht="15" hidden="false" customHeight="false" outlineLevel="0" collapsed="false">
      <c r="A384" s="90" t="str">
        <f aca="false">SRC_Perf!$A90&amp;""</f>
        <v/>
      </c>
      <c r="B384" s="59" t="s">
        <v>8328</v>
      </c>
      <c r="C384" s="58" t="n">
        <v>90</v>
      </c>
      <c r="D384" s="90" t="n">
        <f aca="false">SRC_Perf!$O90</f>
        <v>0</v>
      </c>
      <c r="E384" s="90" t="n">
        <f aca="false">SRC_Perf!$K90</f>
        <v>0</v>
      </c>
      <c r="F384" s="90" t="n">
        <f aca="false">SRC_Perf!$S90</f>
        <v>0</v>
      </c>
    </row>
    <row r="385" customFormat="false" ht="15" hidden="false" customHeight="false" outlineLevel="0" collapsed="false">
      <c r="A385" s="90" t="str">
        <f aca="false">SRC_Perf!$A91&amp;""</f>
        <v/>
      </c>
      <c r="B385" s="59" t="s">
        <v>8328</v>
      </c>
      <c r="C385" s="58" t="n">
        <v>91</v>
      </c>
      <c r="D385" s="90" t="n">
        <f aca="false">SRC_Perf!$O91</f>
        <v>0</v>
      </c>
      <c r="E385" s="90" t="n">
        <f aca="false">SRC_Perf!$K91</f>
        <v>0</v>
      </c>
      <c r="F385" s="90" t="n">
        <f aca="false">SRC_Perf!$S91</f>
        <v>0</v>
      </c>
    </row>
    <row r="386" customFormat="false" ht="15" hidden="false" customHeight="false" outlineLevel="0" collapsed="false">
      <c r="A386" s="90" t="str">
        <f aca="false">SRC_Perf!$A92&amp;""</f>
        <v/>
      </c>
      <c r="B386" s="59" t="s">
        <v>8328</v>
      </c>
      <c r="C386" s="58" t="n">
        <v>92</v>
      </c>
      <c r="D386" s="90" t="n">
        <f aca="false">SRC_Perf!$O92</f>
        <v>0</v>
      </c>
      <c r="E386" s="90" t="n">
        <f aca="false">SRC_Perf!$K92</f>
        <v>0</v>
      </c>
      <c r="F386" s="90" t="n">
        <f aca="false">SRC_Perf!$S92</f>
        <v>0</v>
      </c>
    </row>
    <row r="387" customFormat="false" ht="15" hidden="false" customHeight="false" outlineLevel="0" collapsed="false">
      <c r="A387" s="90" t="str">
        <f aca="false">SRC_Perf!$A93&amp;""</f>
        <v/>
      </c>
      <c r="B387" s="59" t="s">
        <v>8328</v>
      </c>
      <c r="C387" s="58" t="n">
        <v>93</v>
      </c>
      <c r="D387" s="90" t="n">
        <f aca="false">SRC_Perf!$O93</f>
        <v>0</v>
      </c>
      <c r="E387" s="90" t="n">
        <f aca="false">SRC_Perf!$K93</f>
        <v>0</v>
      </c>
      <c r="F387" s="90" t="n">
        <f aca="false">SRC_Perf!$S93</f>
        <v>0</v>
      </c>
    </row>
    <row r="388" customFormat="false" ht="15" hidden="false" customHeight="false" outlineLevel="0" collapsed="false">
      <c r="A388" s="90" t="str">
        <f aca="false">SRC_Perf!$A94&amp;""</f>
        <v/>
      </c>
      <c r="B388" s="59" t="s">
        <v>8328</v>
      </c>
      <c r="C388" s="58" t="n">
        <v>94</v>
      </c>
      <c r="D388" s="90" t="n">
        <f aca="false">SRC_Perf!$O94</f>
        <v>0</v>
      </c>
      <c r="E388" s="90" t="n">
        <f aca="false">SRC_Perf!$K94</f>
        <v>0</v>
      </c>
      <c r="F388" s="90" t="n">
        <f aca="false">SRC_Perf!$S94</f>
        <v>0</v>
      </c>
    </row>
    <row r="389" customFormat="false" ht="15" hidden="false" customHeight="false" outlineLevel="0" collapsed="false">
      <c r="A389" s="90" t="str">
        <f aca="false">SRC_Perf!$A95&amp;""</f>
        <v/>
      </c>
      <c r="B389" s="59" t="s">
        <v>8328</v>
      </c>
      <c r="C389" s="58" t="n">
        <v>95</v>
      </c>
      <c r="D389" s="90" t="n">
        <f aca="false">SRC_Perf!$O95</f>
        <v>0</v>
      </c>
      <c r="E389" s="90" t="n">
        <f aca="false">SRC_Perf!$K95</f>
        <v>0</v>
      </c>
      <c r="F389" s="90" t="n">
        <f aca="false">SRC_Perf!$S95</f>
        <v>0</v>
      </c>
    </row>
    <row r="390" customFormat="false" ht="15" hidden="false" customHeight="false" outlineLevel="0" collapsed="false">
      <c r="A390" s="90" t="str">
        <f aca="false">SRC_Perf!$A96&amp;""</f>
        <v/>
      </c>
      <c r="B390" s="59" t="s">
        <v>8328</v>
      </c>
      <c r="C390" s="58" t="n">
        <v>96</v>
      </c>
      <c r="D390" s="90" t="n">
        <f aca="false">SRC_Perf!$O96</f>
        <v>0</v>
      </c>
      <c r="E390" s="90" t="n">
        <f aca="false">SRC_Perf!$K96</f>
        <v>0</v>
      </c>
      <c r="F390" s="90" t="n">
        <f aca="false">SRC_Perf!$S96</f>
        <v>0</v>
      </c>
    </row>
    <row r="391" customFormat="false" ht="15" hidden="false" customHeight="false" outlineLevel="0" collapsed="false">
      <c r="A391" s="90" t="str">
        <f aca="false">SRC_Perf!$A97&amp;""</f>
        <v/>
      </c>
      <c r="B391" s="59" t="s">
        <v>8328</v>
      </c>
      <c r="C391" s="58" t="n">
        <v>97</v>
      </c>
      <c r="D391" s="90" t="n">
        <f aca="false">SRC_Perf!$O97</f>
        <v>0</v>
      </c>
      <c r="E391" s="90" t="n">
        <f aca="false">SRC_Perf!$K97</f>
        <v>0</v>
      </c>
      <c r="F391" s="90" t="n">
        <f aca="false">SRC_Perf!$S97</f>
        <v>0</v>
      </c>
    </row>
    <row r="392" customFormat="false" ht="15" hidden="false" customHeight="false" outlineLevel="0" collapsed="false">
      <c r="A392" s="90" t="str">
        <f aca="false">SRC_Perf!$A98&amp;""</f>
        <v/>
      </c>
      <c r="B392" s="59" t="s">
        <v>8328</v>
      </c>
      <c r="C392" s="58" t="n">
        <v>98</v>
      </c>
      <c r="D392" s="90" t="n">
        <f aca="false">SRC_Perf!$O98</f>
        <v>0</v>
      </c>
      <c r="E392" s="90" t="n">
        <f aca="false">SRC_Perf!$K98</f>
        <v>0</v>
      </c>
      <c r="F392" s="90" t="n">
        <f aca="false">SRC_Perf!$S98</f>
        <v>0</v>
      </c>
    </row>
    <row r="393" customFormat="false" ht="15" hidden="false" customHeight="false" outlineLevel="0" collapsed="false">
      <c r="A393" s="90" t="str">
        <f aca="false">SRC_Perf!$A99&amp;""</f>
        <v/>
      </c>
      <c r="B393" s="59" t="s">
        <v>8328</v>
      </c>
      <c r="C393" s="58" t="n">
        <v>99</v>
      </c>
      <c r="D393" s="90" t="n">
        <f aca="false">SRC_Perf!$O99</f>
        <v>0</v>
      </c>
      <c r="E393" s="90" t="n">
        <f aca="false">SRC_Perf!$K99</f>
        <v>0</v>
      </c>
      <c r="F393" s="90" t="n">
        <f aca="false">SRC_Perf!$S99</f>
        <v>0</v>
      </c>
    </row>
    <row r="394" customFormat="false" ht="15" hidden="false" customHeight="false" outlineLevel="0" collapsed="false">
      <c r="A394" s="90" t="str">
        <f aca="false">SRC_Perf!$A100&amp;""</f>
        <v/>
      </c>
      <c r="B394" s="59" t="s">
        <v>8328</v>
      </c>
      <c r="C394" s="58" t="n">
        <v>100</v>
      </c>
      <c r="D394" s="90" t="n">
        <f aca="false">SRC_Perf!$O100</f>
        <v>0</v>
      </c>
      <c r="E394" s="90" t="n">
        <f aca="false">SRC_Perf!$K100</f>
        <v>0</v>
      </c>
      <c r="F394" s="90" t="n">
        <f aca="false">SRC_Perf!$S100</f>
        <v>0</v>
      </c>
    </row>
    <row r="395" customFormat="false" ht="15" hidden="false" customHeight="false" outlineLevel="0" collapsed="false">
      <c r="A395" s="90" t="str">
        <f aca="false">SRC_Perf!$A101&amp;""</f>
        <v/>
      </c>
      <c r="B395" s="59" t="s">
        <v>8328</v>
      </c>
      <c r="C395" s="58" t="n">
        <v>101</v>
      </c>
      <c r="D395" s="90" t="n">
        <f aca="false">SRC_Perf!$O101</f>
        <v>0</v>
      </c>
      <c r="E395" s="90" t="n">
        <f aca="false">SRC_Perf!$K101</f>
        <v>0</v>
      </c>
      <c r="F395" s="90" t="n">
        <f aca="false">SRC_Perf!$S101</f>
        <v>0</v>
      </c>
    </row>
    <row r="396" customFormat="false" ht="15" hidden="false" customHeight="false" outlineLevel="0" collapsed="false">
      <c r="A396" s="90" t="str">
        <f aca="false">SRC_Perf!$A102&amp;""</f>
        <v/>
      </c>
      <c r="B396" s="59" t="s">
        <v>8328</v>
      </c>
      <c r="C396" s="58" t="n">
        <v>102</v>
      </c>
      <c r="D396" s="90" t="n">
        <f aca="false">SRC_Perf!$O102</f>
        <v>0</v>
      </c>
      <c r="E396" s="90" t="n">
        <f aca="false">SRC_Perf!$K102</f>
        <v>0</v>
      </c>
      <c r="F396" s="90" t="n">
        <f aca="false">SRC_Perf!$S102</f>
        <v>0</v>
      </c>
    </row>
    <row r="397" customFormat="false" ht="15" hidden="false" customHeight="false" outlineLevel="0" collapsed="false">
      <c r="A397" s="90" t="str">
        <f aca="false">SRC_Perf!$A103&amp;""</f>
        <v/>
      </c>
      <c r="B397" s="59" t="s">
        <v>8328</v>
      </c>
      <c r="C397" s="58" t="n">
        <v>103</v>
      </c>
      <c r="D397" s="90" t="n">
        <f aca="false">SRC_Perf!$O103</f>
        <v>0</v>
      </c>
      <c r="E397" s="90" t="n">
        <f aca="false">SRC_Perf!$K103</f>
        <v>0</v>
      </c>
      <c r="F397" s="90" t="n">
        <f aca="false">SRC_Perf!$S103</f>
        <v>0</v>
      </c>
    </row>
    <row r="398" customFormat="false" ht="15" hidden="false" customHeight="false" outlineLevel="0" collapsed="false">
      <c r="A398" s="90" t="str">
        <f aca="false">SRC_Perf!$A104&amp;""</f>
        <v/>
      </c>
      <c r="B398" s="59" t="s">
        <v>8328</v>
      </c>
      <c r="C398" s="58" t="n">
        <v>104</v>
      </c>
      <c r="D398" s="90" t="n">
        <f aca="false">SRC_Perf!$O104</f>
        <v>0</v>
      </c>
      <c r="E398" s="90" t="n">
        <f aca="false">SRC_Perf!$K104</f>
        <v>0</v>
      </c>
      <c r="F398" s="90" t="n">
        <f aca="false">SRC_Perf!$S104</f>
        <v>0</v>
      </c>
    </row>
    <row r="399" customFormat="false" ht="15" hidden="false" customHeight="false" outlineLevel="0" collapsed="false">
      <c r="A399" s="90" t="str">
        <f aca="false">SRC_Perf!$A105&amp;""</f>
        <v/>
      </c>
      <c r="B399" s="59" t="s">
        <v>8328</v>
      </c>
      <c r="C399" s="58" t="n">
        <v>105</v>
      </c>
      <c r="D399" s="90" t="n">
        <f aca="false">SRC_Perf!$O105</f>
        <v>0</v>
      </c>
      <c r="E399" s="90" t="n">
        <f aca="false">SRC_Perf!$K105</f>
        <v>0</v>
      </c>
      <c r="F399" s="90" t="n">
        <f aca="false">SRC_Perf!$S105</f>
        <v>0</v>
      </c>
    </row>
    <row r="400" customFormat="false" ht="15" hidden="false" customHeight="false" outlineLevel="0" collapsed="false">
      <c r="A400" s="90" t="str">
        <f aca="false">SRC_Perf!$A106&amp;""</f>
        <v/>
      </c>
      <c r="B400" s="59" t="s">
        <v>8328</v>
      </c>
      <c r="C400" s="58" t="n">
        <v>106</v>
      </c>
      <c r="D400" s="90" t="n">
        <f aca="false">SRC_Perf!$O106</f>
        <v>0</v>
      </c>
      <c r="E400" s="90" t="n">
        <f aca="false">SRC_Perf!$K106</f>
        <v>0</v>
      </c>
      <c r="F400" s="90" t="n">
        <f aca="false">SRC_Perf!$S106</f>
        <v>0</v>
      </c>
    </row>
    <row r="401" customFormat="false" ht="15" hidden="false" customHeight="false" outlineLevel="0" collapsed="false">
      <c r="A401" s="90" t="str">
        <f aca="false">SRC_Perf!$A107&amp;""</f>
        <v/>
      </c>
      <c r="B401" s="59" t="s">
        <v>8328</v>
      </c>
      <c r="C401" s="58" t="n">
        <v>107</v>
      </c>
      <c r="D401" s="90" t="n">
        <f aca="false">SRC_Perf!$O107</f>
        <v>0</v>
      </c>
      <c r="E401" s="90" t="n">
        <f aca="false">SRC_Perf!$K107</f>
        <v>0</v>
      </c>
      <c r="F401" s="90" t="n">
        <f aca="false">SRC_Perf!$S107</f>
        <v>0</v>
      </c>
    </row>
    <row r="402" customFormat="false" ht="15" hidden="false" customHeight="false" outlineLevel="0" collapsed="false">
      <c r="A402" s="90" t="str">
        <f aca="false">SRC_Perf!$A108&amp;""</f>
        <v/>
      </c>
      <c r="B402" s="59" t="s">
        <v>8328</v>
      </c>
      <c r="C402" s="58" t="n">
        <v>108</v>
      </c>
      <c r="D402" s="90" t="n">
        <f aca="false">SRC_Perf!$O108</f>
        <v>0</v>
      </c>
      <c r="E402" s="90" t="n">
        <f aca="false">SRC_Perf!$K108</f>
        <v>0</v>
      </c>
      <c r="F402" s="90" t="n">
        <f aca="false">SRC_Perf!$S108</f>
        <v>0</v>
      </c>
    </row>
    <row r="403" customFormat="false" ht="15" hidden="false" customHeight="false" outlineLevel="0" collapsed="false">
      <c r="A403" s="90" t="str">
        <f aca="false">SRC_Perf!$A109&amp;""</f>
        <v/>
      </c>
      <c r="B403" s="59" t="s">
        <v>8328</v>
      </c>
      <c r="C403" s="58" t="n">
        <v>109</v>
      </c>
      <c r="D403" s="90" t="n">
        <f aca="false">SRC_Perf!$O109</f>
        <v>0</v>
      </c>
      <c r="E403" s="90" t="n">
        <f aca="false">SRC_Perf!$K109</f>
        <v>0</v>
      </c>
      <c r="F403" s="90" t="n">
        <f aca="false">SRC_Perf!$S109</f>
        <v>0</v>
      </c>
    </row>
    <row r="404" customFormat="false" ht="15" hidden="false" customHeight="false" outlineLevel="0" collapsed="false">
      <c r="A404" s="90" t="str">
        <f aca="false">SRC_Perf!$A110&amp;""</f>
        <v/>
      </c>
      <c r="B404" s="59" t="s">
        <v>8328</v>
      </c>
      <c r="C404" s="58" t="n">
        <v>110</v>
      </c>
      <c r="D404" s="90" t="n">
        <f aca="false">SRC_Perf!$O110</f>
        <v>0</v>
      </c>
      <c r="E404" s="90" t="n">
        <f aca="false">SRC_Perf!$K110</f>
        <v>0</v>
      </c>
      <c r="F404" s="90" t="n">
        <f aca="false">SRC_Perf!$S110</f>
        <v>0</v>
      </c>
    </row>
    <row r="405" customFormat="false" ht="15" hidden="false" customHeight="false" outlineLevel="0" collapsed="false">
      <c r="A405" s="90" t="str">
        <f aca="false">SRC_Perf!$A111&amp;""</f>
        <v/>
      </c>
      <c r="B405" s="59" t="s">
        <v>8328</v>
      </c>
      <c r="C405" s="58" t="n">
        <v>111</v>
      </c>
      <c r="D405" s="90" t="n">
        <f aca="false">SRC_Perf!$O111</f>
        <v>0</v>
      </c>
      <c r="E405" s="90" t="n">
        <f aca="false">SRC_Perf!$K111</f>
        <v>0</v>
      </c>
      <c r="F405" s="90" t="n">
        <f aca="false">SRC_Perf!$S111</f>
        <v>0</v>
      </c>
    </row>
    <row r="406" customFormat="false" ht="15" hidden="false" customHeight="false" outlineLevel="0" collapsed="false">
      <c r="A406" s="90" t="str">
        <f aca="false">SRC_Perf!$A112&amp;""</f>
        <v/>
      </c>
      <c r="B406" s="59" t="s">
        <v>8328</v>
      </c>
      <c r="C406" s="58" t="n">
        <v>112</v>
      </c>
      <c r="D406" s="90" t="n">
        <f aca="false">SRC_Perf!$O112</f>
        <v>0</v>
      </c>
      <c r="E406" s="90" t="n">
        <f aca="false">SRC_Perf!$K112</f>
        <v>0</v>
      </c>
      <c r="F406" s="90" t="n">
        <f aca="false">SRC_Perf!$S112</f>
        <v>0</v>
      </c>
    </row>
    <row r="407" customFormat="false" ht="15" hidden="false" customHeight="false" outlineLevel="0" collapsed="false">
      <c r="A407" s="90" t="str">
        <f aca="false">SRC_Perf!$A113&amp;""</f>
        <v/>
      </c>
      <c r="B407" s="59" t="s">
        <v>8328</v>
      </c>
      <c r="C407" s="58" t="n">
        <v>113</v>
      </c>
      <c r="D407" s="90" t="n">
        <f aca="false">SRC_Perf!$O113</f>
        <v>0</v>
      </c>
      <c r="E407" s="90" t="n">
        <f aca="false">SRC_Perf!$K113</f>
        <v>0</v>
      </c>
      <c r="F407" s="90" t="n">
        <f aca="false">SRC_Perf!$S113</f>
        <v>0</v>
      </c>
    </row>
    <row r="408" customFormat="false" ht="15" hidden="false" customHeight="false" outlineLevel="0" collapsed="false">
      <c r="A408" s="90" t="str">
        <f aca="false">SRC_Price!$A5&amp;""</f>
        <v>SRC_PRC_001</v>
      </c>
      <c r="B408" s="59" t="s">
        <v>8329</v>
      </c>
      <c r="C408" s="58" t="n">
        <v>5</v>
      </c>
      <c r="D408" s="90" t="str">
        <f aca="false">SRC_Price!$O5</f>
        <v>Active</v>
      </c>
      <c r="E408" s="90" t="n">
        <f aca="false">SRC_Price!$K5</f>
        <v>3</v>
      </c>
      <c r="F408" s="90" t="str">
        <f aca="false">SRC_Price!$S5</f>
        <v>—</v>
      </c>
    </row>
    <row r="409" customFormat="false" ht="15" hidden="false" customHeight="false" outlineLevel="0" collapsed="false">
      <c r="A409" s="90" t="str">
        <f aca="false">SRC_Price!$A6&amp;""</f>
        <v>SRC_PRC_002</v>
      </c>
      <c r="B409" s="59" t="s">
        <v>8329</v>
      </c>
      <c r="C409" s="58" t="n">
        <v>6</v>
      </c>
      <c r="D409" s="90" t="str">
        <f aca="false">SRC_Price!$O6</f>
        <v>Active</v>
      </c>
      <c r="E409" s="90" t="n">
        <f aca="false">SRC_Price!$K6</f>
        <v>2</v>
      </c>
      <c r="F409" s="90" t="str">
        <f aca="false">SRC_Price!$S6</f>
        <v>—</v>
      </c>
    </row>
    <row r="410" customFormat="false" ht="15" hidden="false" customHeight="false" outlineLevel="0" collapsed="false">
      <c r="A410" s="90" t="str">
        <f aca="false">SRC_Price!$A7&amp;""</f>
        <v>SRC_PRC_003</v>
      </c>
      <c r="B410" s="59" t="s">
        <v>8329</v>
      </c>
      <c r="C410" s="58" t="n">
        <v>7</v>
      </c>
      <c r="D410" s="90" t="str">
        <f aca="false">SRC_Price!$O7</f>
        <v>Active</v>
      </c>
      <c r="E410" s="90" t="n">
        <f aca="false">SRC_Price!$K7</f>
        <v>1</v>
      </c>
      <c r="F410" s="90" t="str">
        <f aca="false">SRC_Price!$S7</f>
        <v>—</v>
      </c>
    </row>
    <row r="411" customFormat="false" ht="15" hidden="false" customHeight="false" outlineLevel="0" collapsed="false">
      <c r="A411" s="90" t="str">
        <f aca="false">SRC_Price!$A8&amp;""</f>
        <v>SRC_PRC_004</v>
      </c>
      <c r="B411" s="59" t="s">
        <v>8329</v>
      </c>
      <c r="C411" s="58" t="n">
        <v>8</v>
      </c>
      <c r="D411" s="90" t="str">
        <f aca="false">SRC_Price!$O8</f>
        <v>Active</v>
      </c>
      <c r="E411" s="90" t="n">
        <f aca="false">SRC_Price!$K8</f>
        <v>1</v>
      </c>
      <c r="F411" s="90" t="str">
        <f aca="false">SRC_Price!$S8</f>
        <v>—</v>
      </c>
    </row>
    <row r="412" customFormat="false" ht="15" hidden="false" customHeight="false" outlineLevel="0" collapsed="false">
      <c r="A412" s="90" t="str">
        <f aca="false">SRC_Price!$A9&amp;""</f>
        <v>SRC_PRC_005</v>
      </c>
      <c r="B412" s="59" t="s">
        <v>8329</v>
      </c>
      <c r="C412" s="58" t="n">
        <v>9</v>
      </c>
      <c r="D412" s="90" t="str">
        <f aca="false">SRC_Price!$O9</f>
        <v>Active</v>
      </c>
      <c r="E412" s="90" t="n">
        <f aca="false">SRC_Price!$K9</f>
        <v>1</v>
      </c>
      <c r="F412" s="90" t="str">
        <f aca="false">SRC_Price!$S9</f>
        <v>—</v>
      </c>
    </row>
    <row r="413" customFormat="false" ht="15" hidden="false" customHeight="false" outlineLevel="0" collapsed="false">
      <c r="A413" s="90" t="str">
        <f aca="false">SRC_Price!$A10&amp;""</f>
        <v>SRC_PRC_006</v>
      </c>
      <c r="B413" s="59" t="s">
        <v>8329</v>
      </c>
      <c r="C413" s="58" t="n">
        <v>10</v>
      </c>
      <c r="D413" s="90" t="str">
        <f aca="false">SRC_Price!$O10</f>
        <v>Active</v>
      </c>
      <c r="E413" s="90" t="n">
        <f aca="false">SRC_Price!$K10</f>
        <v>1</v>
      </c>
      <c r="F413" s="90" t="str">
        <f aca="false">SRC_Price!$S10</f>
        <v>—</v>
      </c>
    </row>
    <row r="414" customFormat="false" ht="15" hidden="false" customHeight="false" outlineLevel="0" collapsed="false">
      <c r="A414" s="90" t="str">
        <f aca="false">SRC_Price!$A11&amp;""</f>
        <v>SRC_PRC_007</v>
      </c>
      <c r="B414" s="59" t="s">
        <v>8329</v>
      </c>
      <c r="C414" s="58" t="n">
        <v>11</v>
      </c>
      <c r="D414" s="90" t="str">
        <f aca="false">SRC_Price!$O11</f>
        <v>Active</v>
      </c>
      <c r="E414" s="90" t="n">
        <f aca="false">SRC_Price!$K11</f>
        <v>1</v>
      </c>
      <c r="F414" s="90" t="str">
        <f aca="false">SRC_Price!$S11</f>
        <v>—</v>
      </c>
    </row>
    <row r="415" customFormat="false" ht="15" hidden="false" customHeight="false" outlineLevel="0" collapsed="false">
      <c r="A415" s="90" t="str">
        <f aca="false">SRC_Price!$A12&amp;""</f>
        <v>SRC_PRC_008</v>
      </c>
      <c r="B415" s="59" t="s">
        <v>8329</v>
      </c>
      <c r="C415" s="58" t="n">
        <v>12</v>
      </c>
      <c r="D415" s="90" t="str">
        <f aca="false">SRC_Price!$O12</f>
        <v>Active</v>
      </c>
      <c r="E415" s="90" t="n">
        <f aca="false">SRC_Price!$K12</f>
        <v>1</v>
      </c>
      <c r="F415" s="90" t="str">
        <f aca="false">SRC_Price!$S12</f>
        <v>—</v>
      </c>
    </row>
    <row r="416" customFormat="false" ht="15" hidden="false" customHeight="false" outlineLevel="0" collapsed="false">
      <c r="A416" s="90" t="str">
        <f aca="false">SRC_Price!$A13&amp;""</f>
        <v>SRC_PRC_009</v>
      </c>
      <c r="B416" s="59" t="s">
        <v>8329</v>
      </c>
      <c r="C416" s="58" t="n">
        <v>13</v>
      </c>
      <c r="D416" s="90" t="str">
        <f aca="false">SRC_Price!$O13</f>
        <v>Active</v>
      </c>
      <c r="E416" s="90" t="n">
        <f aca="false">SRC_Price!$K13</f>
        <v>1</v>
      </c>
      <c r="F416" s="90" t="str">
        <f aca="false">SRC_Price!$S13</f>
        <v>—</v>
      </c>
    </row>
    <row r="417" customFormat="false" ht="15" hidden="false" customHeight="false" outlineLevel="0" collapsed="false">
      <c r="A417" s="90" t="str">
        <f aca="false">SRC_Price!$A14&amp;""</f>
        <v>SRC_PRC_010</v>
      </c>
      <c r="B417" s="59" t="s">
        <v>8329</v>
      </c>
      <c r="C417" s="58" t="n">
        <v>14</v>
      </c>
      <c r="D417" s="90" t="str">
        <f aca="false">SRC_Price!$O14</f>
        <v>Active</v>
      </c>
      <c r="E417" s="90" t="n">
        <f aca="false">SRC_Price!$K14</f>
        <v>1</v>
      </c>
      <c r="F417" s="90" t="str">
        <f aca="false">SRC_Price!$S14</f>
        <v>—</v>
      </c>
    </row>
    <row r="418" customFormat="false" ht="15" hidden="false" customHeight="false" outlineLevel="0" collapsed="false">
      <c r="A418" s="90" t="str">
        <f aca="false">SRC_Price!$A15&amp;""</f>
        <v>SRC_PRC_011</v>
      </c>
      <c r="B418" s="59" t="s">
        <v>8329</v>
      </c>
      <c r="C418" s="58" t="n">
        <v>15</v>
      </c>
      <c r="D418" s="90" t="str">
        <f aca="false">SRC_Price!$O15</f>
        <v>Active</v>
      </c>
      <c r="E418" s="90" t="n">
        <f aca="false">SRC_Price!$K15</f>
        <v>1</v>
      </c>
      <c r="F418" s="90" t="str">
        <f aca="false">SRC_Price!$S15</f>
        <v>—</v>
      </c>
    </row>
    <row r="419" customFormat="false" ht="15" hidden="false" customHeight="false" outlineLevel="0" collapsed="false">
      <c r="A419" s="90" t="str">
        <f aca="false">SRC_Price!$A16&amp;""</f>
        <v>SRC_PRC_012</v>
      </c>
      <c r="B419" s="59" t="s">
        <v>8329</v>
      </c>
      <c r="C419" s="58" t="n">
        <v>16</v>
      </c>
      <c r="D419" s="90" t="str">
        <f aca="false">SRC_Price!$O16</f>
        <v>Active</v>
      </c>
      <c r="E419" s="90" t="n">
        <f aca="false">SRC_Price!$K16</f>
        <v>2</v>
      </c>
      <c r="F419" s="90" t="str">
        <f aca="false">SRC_Price!$S16</f>
        <v>—</v>
      </c>
    </row>
    <row r="420" customFormat="false" ht="15" hidden="false" customHeight="false" outlineLevel="0" collapsed="false">
      <c r="A420" s="90" t="str">
        <f aca="false">SRC_Price!$A17&amp;""</f>
        <v>SRC_PRC_013</v>
      </c>
      <c r="B420" s="59" t="s">
        <v>8329</v>
      </c>
      <c r="C420" s="58" t="n">
        <v>17</v>
      </c>
      <c r="D420" s="90" t="str">
        <f aca="false">SRC_Price!$O17</f>
        <v>Active</v>
      </c>
      <c r="E420" s="90" t="n">
        <f aca="false">SRC_Price!$K17</f>
        <v>2</v>
      </c>
      <c r="F420" s="90" t="str">
        <f aca="false">SRC_Price!$S17</f>
        <v>—</v>
      </c>
    </row>
    <row r="421" customFormat="false" ht="15" hidden="false" customHeight="false" outlineLevel="0" collapsed="false">
      <c r="A421" s="90" t="str">
        <f aca="false">SRC_Price!$A18&amp;""</f>
        <v>SRC_PRC_014</v>
      </c>
      <c r="B421" s="59" t="s">
        <v>8329</v>
      </c>
      <c r="C421" s="58" t="n">
        <v>18</v>
      </c>
      <c r="D421" s="90" t="str">
        <f aca="false">SRC_Price!$O18</f>
        <v>Active</v>
      </c>
      <c r="E421" s="90" t="n">
        <f aca="false">SRC_Price!$K18</f>
        <v>2</v>
      </c>
      <c r="F421" s="90" t="str">
        <f aca="false">SRC_Price!$S18</f>
        <v>—</v>
      </c>
    </row>
    <row r="422" customFormat="false" ht="15" hidden="false" customHeight="false" outlineLevel="0" collapsed="false">
      <c r="A422" s="90" t="str">
        <f aca="false">SRC_Price!$A19&amp;""</f>
        <v>SRC_PRC_015</v>
      </c>
      <c r="B422" s="59" t="s">
        <v>8329</v>
      </c>
      <c r="C422" s="58" t="n">
        <v>19</v>
      </c>
      <c r="D422" s="90" t="str">
        <f aca="false">SRC_Price!$O19</f>
        <v>Active</v>
      </c>
      <c r="E422" s="90" t="n">
        <f aca="false">SRC_Price!$K19</f>
        <v>2</v>
      </c>
      <c r="F422" s="90" t="str">
        <f aca="false">SRC_Price!$S19</f>
        <v>—</v>
      </c>
    </row>
    <row r="423" customFormat="false" ht="15" hidden="false" customHeight="false" outlineLevel="0" collapsed="false">
      <c r="A423" s="90" t="str">
        <f aca="false">SRC_Price!$A20&amp;""</f>
        <v>SRC_PRC_016</v>
      </c>
      <c r="B423" s="59" t="s">
        <v>8329</v>
      </c>
      <c r="C423" s="58" t="n">
        <v>20</v>
      </c>
      <c r="D423" s="90" t="str">
        <f aca="false">SRC_Price!$O20</f>
        <v>Active</v>
      </c>
      <c r="E423" s="90" t="n">
        <f aca="false">SRC_Price!$K20</f>
        <v>2</v>
      </c>
      <c r="F423" s="90" t="str">
        <f aca="false">SRC_Price!$S20</f>
        <v>—</v>
      </c>
    </row>
    <row r="424" customFormat="false" ht="15" hidden="false" customHeight="false" outlineLevel="0" collapsed="false">
      <c r="A424" s="90" t="str">
        <f aca="false">SRC_Price!$A21&amp;""</f>
        <v>SRC_PRC_017</v>
      </c>
      <c r="B424" s="59" t="s">
        <v>8329</v>
      </c>
      <c r="C424" s="58" t="n">
        <v>21</v>
      </c>
      <c r="D424" s="90" t="str">
        <f aca="false">SRC_Price!$O21</f>
        <v>Active</v>
      </c>
      <c r="E424" s="90" t="n">
        <f aca="false">SRC_Price!$K21</f>
        <v>2</v>
      </c>
      <c r="F424" s="90" t="str">
        <f aca="false">SRC_Price!$S21</f>
        <v>—</v>
      </c>
    </row>
    <row r="425" customFormat="false" ht="15" hidden="false" customHeight="false" outlineLevel="0" collapsed="false">
      <c r="A425" s="90" t="str">
        <f aca="false">SRC_Price!$A22&amp;""</f>
        <v>SRC_PRC_018</v>
      </c>
      <c r="B425" s="59" t="s">
        <v>8329</v>
      </c>
      <c r="C425" s="58" t="n">
        <v>22</v>
      </c>
      <c r="D425" s="90" t="str">
        <f aca="false">SRC_Price!$O22</f>
        <v>Active</v>
      </c>
      <c r="E425" s="90" t="n">
        <f aca="false">SRC_Price!$K22</f>
        <v>2</v>
      </c>
      <c r="F425" s="90" t="str">
        <f aca="false">SRC_Price!$S22</f>
        <v>—</v>
      </c>
    </row>
    <row r="426" customFormat="false" ht="15" hidden="false" customHeight="false" outlineLevel="0" collapsed="false">
      <c r="A426" s="90" t="str">
        <f aca="false">SRC_Price!$A23&amp;""</f>
        <v>SRC_PRC_019</v>
      </c>
      <c r="B426" s="59" t="s">
        <v>8329</v>
      </c>
      <c r="C426" s="58" t="n">
        <v>23</v>
      </c>
      <c r="D426" s="90" t="str">
        <f aca="false">SRC_Price!$O23</f>
        <v>Active</v>
      </c>
      <c r="E426" s="90" t="n">
        <f aca="false">SRC_Price!$K23</f>
        <v>2</v>
      </c>
      <c r="F426" s="90" t="str">
        <f aca="false">SRC_Price!$S23</f>
        <v>—</v>
      </c>
    </row>
    <row r="427" customFormat="false" ht="15" hidden="false" customHeight="false" outlineLevel="0" collapsed="false">
      <c r="A427" s="90" t="str">
        <f aca="false">SRC_Price!$A24&amp;""</f>
        <v>SRC_PRC_020</v>
      </c>
      <c r="B427" s="59" t="s">
        <v>8329</v>
      </c>
      <c r="C427" s="58" t="n">
        <v>24</v>
      </c>
      <c r="D427" s="90" t="str">
        <f aca="false">SRC_Price!$O24</f>
        <v>Active</v>
      </c>
      <c r="E427" s="90" t="n">
        <f aca="false">SRC_Price!$K24</f>
        <v>2</v>
      </c>
      <c r="F427" s="90" t="str">
        <f aca="false">SRC_Price!$S24</f>
        <v>—</v>
      </c>
    </row>
    <row r="428" customFormat="false" ht="15" hidden="false" customHeight="false" outlineLevel="0" collapsed="false">
      <c r="A428" s="90" t="str">
        <f aca="false">SRC_Price!$A25&amp;""</f>
        <v>SRC_PRC_021</v>
      </c>
      <c r="B428" s="59" t="s">
        <v>8329</v>
      </c>
      <c r="C428" s="58" t="n">
        <v>25</v>
      </c>
      <c r="D428" s="90" t="str">
        <f aca="false">SRC_Price!$O25</f>
        <v>Active</v>
      </c>
      <c r="E428" s="90" t="n">
        <f aca="false">SRC_Price!$K25</f>
        <v>1</v>
      </c>
      <c r="F428" s="90" t="str">
        <f aca="false">SRC_Price!$S25</f>
        <v>—</v>
      </c>
    </row>
    <row r="429" customFormat="false" ht="15" hidden="false" customHeight="false" outlineLevel="0" collapsed="false">
      <c r="A429" s="90" t="str">
        <f aca="false">SRC_Price!$A26&amp;""</f>
        <v>SRC_PRC_022</v>
      </c>
      <c r="B429" s="59" t="s">
        <v>8329</v>
      </c>
      <c r="C429" s="58" t="n">
        <v>26</v>
      </c>
      <c r="D429" s="90" t="str">
        <f aca="false">SRC_Price!$O26</f>
        <v>Active</v>
      </c>
      <c r="E429" s="90" t="n">
        <f aca="false">SRC_Price!$K26</f>
        <v>1</v>
      </c>
      <c r="F429" s="90" t="str">
        <f aca="false">SRC_Price!$S26</f>
        <v>—</v>
      </c>
    </row>
    <row r="430" customFormat="false" ht="15" hidden="false" customHeight="false" outlineLevel="0" collapsed="false">
      <c r="A430" s="90" t="str">
        <f aca="false">SRC_Price!$A27&amp;""</f>
        <v>SRC_PRC_023</v>
      </c>
      <c r="B430" s="59" t="s">
        <v>8329</v>
      </c>
      <c r="C430" s="58" t="n">
        <v>27</v>
      </c>
      <c r="D430" s="90" t="str">
        <f aca="false">SRC_Price!$O27</f>
        <v>Active</v>
      </c>
      <c r="E430" s="90" t="n">
        <f aca="false">SRC_Price!$K27</f>
        <v>1</v>
      </c>
      <c r="F430" s="90" t="str">
        <f aca="false">SRC_Price!$S27</f>
        <v>—</v>
      </c>
    </row>
    <row r="431" customFormat="false" ht="15" hidden="false" customHeight="false" outlineLevel="0" collapsed="false">
      <c r="A431" s="90" t="str">
        <f aca="false">SRC_Price!$A28&amp;""</f>
        <v>SRC_PRC_024</v>
      </c>
      <c r="B431" s="59" t="s">
        <v>8329</v>
      </c>
      <c r="C431" s="58" t="n">
        <v>28</v>
      </c>
      <c r="D431" s="90" t="str">
        <f aca="false">SRC_Price!$O28</f>
        <v>Active</v>
      </c>
      <c r="E431" s="90" t="n">
        <f aca="false">SRC_Price!$K28</f>
        <v>1</v>
      </c>
      <c r="F431" s="90" t="str">
        <f aca="false">SRC_Price!$S28</f>
        <v>—</v>
      </c>
    </row>
    <row r="432" customFormat="false" ht="15" hidden="false" customHeight="false" outlineLevel="0" collapsed="false">
      <c r="A432" s="90" t="str">
        <f aca="false">SRC_Price!$A29&amp;""</f>
        <v>SRC_PRC_025</v>
      </c>
      <c r="B432" s="59" t="s">
        <v>8329</v>
      </c>
      <c r="C432" s="58" t="n">
        <v>29</v>
      </c>
      <c r="D432" s="90" t="str">
        <f aca="false">SRC_Price!$O29</f>
        <v>Active</v>
      </c>
      <c r="E432" s="90" t="n">
        <f aca="false">SRC_Price!$K29</f>
        <v>1</v>
      </c>
      <c r="F432" s="90" t="str">
        <f aca="false">SRC_Price!$S29</f>
        <v>—</v>
      </c>
    </row>
    <row r="433" customFormat="false" ht="15" hidden="false" customHeight="false" outlineLevel="0" collapsed="false">
      <c r="A433" s="90" t="str">
        <f aca="false">SRC_Price!$A30&amp;""</f>
        <v>SRC_PRC_026</v>
      </c>
      <c r="B433" s="59" t="s">
        <v>8329</v>
      </c>
      <c r="C433" s="58" t="n">
        <v>30</v>
      </c>
      <c r="D433" s="90" t="str">
        <f aca="false">SRC_Price!$O30</f>
        <v>Active</v>
      </c>
      <c r="E433" s="90" t="n">
        <f aca="false">SRC_Price!$K30</f>
        <v>1</v>
      </c>
      <c r="F433" s="90" t="str">
        <f aca="false">SRC_Price!$S30</f>
        <v>—</v>
      </c>
    </row>
    <row r="434" customFormat="false" ht="15" hidden="false" customHeight="false" outlineLevel="0" collapsed="false">
      <c r="A434" s="90" t="str">
        <f aca="false">SRC_Price!$A31&amp;""</f>
        <v>SRC_PRC_027</v>
      </c>
      <c r="B434" s="59" t="s">
        <v>8329</v>
      </c>
      <c r="C434" s="58" t="n">
        <v>31</v>
      </c>
      <c r="D434" s="90" t="str">
        <f aca="false">SRC_Price!$O31</f>
        <v>Active</v>
      </c>
      <c r="E434" s="90" t="n">
        <f aca="false">SRC_Price!$K31</f>
        <v>1</v>
      </c>
      <c r="F434" s="90" t="str">
        <f aca="false">SRC_Price!$S31</f>
        <v>—</v>
      </c>
    </row>
    <row r="435" customFormat="false" ht="15" hidden="false" customHeight="false" outlineLevel="0" collapsed="false">
      <c r="A435" s="90" t="str">
        <f aca="false">SRC_Price!$A32&amp;""</f>
        <v>SRC_PRC_028</v>
      </c>
      <c r="B435" s="59" t="s">
        <v>8329</v>
      </c>
      <c r="C435" s="58" t="n">
        <v>32</v>
      </c>
      <c r="D435" s="90" t="str">
        <f aca="false">SRC_Price!$O32</f>
        <v>Active</v>
      </c>
      <c r="E435" s="90" t="n">
        <f aca="false">SRC_Price!$K32</f>
        <v>1</v>
      </c>
      <c r="F435" s="90" t="str">
        <f aca="false">SRC_Price!$S32</f>
        <v>—</v>
      </c>
    </row>
    <row r="436" customFormat="false" ht="15" hidden="false" customHeight="false" outlineLevel="0" collapsed="false">
      <c r="A436" s="90" t="str">
        <f aca="false">SRC_Price!$A33&amp;""</f>
        <v>SRC_PRC_029</v>
      </c>
      <c r="B436" s="59" t="s">
        <v>8329</v>
      </c>
      <c r="C436" s="58" t="n">
        <v>33</v>
      </c>
      <c r="D436" s="90" t="str">
        <f aca="false">SRC_Price!$O33</f>
        <v>Active</v>
      </c>
      <c r="E436" s="90" t="n">
        <f aca="false">SRC_Price!$K33</f>
        <v>1</v>
      </c>
      <c r="F436" s="90" t="str">
        <f aca="false">SRC_Price!$S33</f>
        <v>—</v>
      </c>
    </row>
    <row r="437" customFormat="false" ht="15" hidden="false" customHeight="false" outlineLevel="0" collapsed="false">
      <c r="A437" s="90" t="str">
        <f aca="false">SRC_Price!$A34&amp;""</f>
        <v>SRC_PRC_030</v>
      </c>
      <c r="B437" s="59" t="s">
        <v>8329</v>
      </c>
      <c r="C437" s="58" t="n">
        <v>34</v>
      </c>
      <c r="D437" s="90" t="str">
        <f aca="false">SRC_Price!$O34</f>
        <v>Active</v>
      </c>
      <c r="E437" s="90" t="n">
        <f aca="false">SRC_Price!$K34</f>
        <v>1</v>
      </c>
      <c r="F437" s="90" t="str">
        <f aca="false">SRC_Price!$S34</f>
        <v>—</v>
      </c>
    </row>
    <row r="438" customFormat="false" ht="15" hidden="false" customHeight="false" outlineLevel="0" collapsed="false">
      <c r="A438" s="90" t="str">
        <f aca="false">SRC_Price!$A35&amp;""</f>
        <v>SRC_PRC_031</v>
      </c>
      <c r="B438" s="59" t="s">
        <v>8329</v>
      </c>
      <c r="C438" s="58" t="n">
        <v>35</v>
      </c>
      <c r="D438" s="90" t="str">
        <f aca="false">SRC_Price!$O35</f>
        <v>Active</v>
      </c>
      <c r="E438" s="90" t="n">
        <f aca="false">SRC_Price!$K35</f>
        <v>1</v>
      </c>
      <c r="F438" s="90" t="str">
        <f aca="false">SRC_Price!$S35</f>
        <v>—</v>
      </c>
    </row>
    <row r="439" customFormat="false" ht="15" hidden="false" customHeight="false" outlineLevel="0" collapsed="false">
      <c r="A439" s="90" t="str">
        <f aca="false">SRC_Price!$A36&amp;""</f>
        <v>SRC_PRC_032</v>
      </c>
      <c r="B439" s="59" t="s">
        <v>8329</v>
      </c>
      <c r="C439" s="58" t="n">
        <v>36</v>
      </c>
      <c r="D439" s="90" t="str">
        <f aca="false">SRC_Price!$O36</f>
        <v>Active</v>
      </c>
      <c r="E439" s="90" t="n">
        <f aca="false">SRC_Price!$K36</f>
        <v>1</v>
      </c>
      <c r="F439" s="90" t="str">
        <f aca="false">SRC_Price!$S36</f>
        <v>—</v>
      </c>
    </row>
    <row r="440" customFormat="false" ht="15" hidden="false" customHeight="false" outlineLevel="0" collapsed="false">
      <c r="A440" s="90" t="str">
        <f aca="false">SRC_Price!$A37&amp;""</f>
        <v>SRC_PRC_033</v>
      </c>
      <c r="B440" s="59" t="s">
        <v>8329</v>
      </c>
      <c r="C440" s="58" t="n">
        <v>37</v>
      </c>
      <c r="D440" s="90" t="str">
        <f aca="false">SRC_Price!$O37</f>
        <v>Active</v>
      </c>
      <c r="E440" s="90" t="n">
        <f aca="false">SRC_Price!$K37</f>
        <v>1</v>
      </c>
      <c r="F440" s="90" t="str">
        <f aca="false">SRC_Price!$S37</f>
        <v>—</v>
      </c>
    </row>
    <row r="441" customFormat="false" ht="15" hidden="false" customHeight="false" outlineLevel="0" collapsed="false">
      <c r="A441" s="90" t="str">
        <f aca="false">SRC_Price!$A38&amp;""</f>
        <v>SRC_PRC_034</v>
      </c>
      <c r="B441" s="59" t="s">
        <v>8329</v>
      </c>
      <c r="C441" s="58" t="n">
        <v>38</v>
      </c>
      <c r="D441" s="90" t="str">
        <f aca="false">SRC_Price!$O38</f>
        <v>Active</v>
      </c>
      <c r="E441" s="90" t="n">
        <f aca="false">SRC_Price!$K38</f>
        <v>1</v>
      </c>
      <c r="F441" s="90" t="str">
        <f aca="false">SRC_Price!$S38</f>
        <v>—</v>
      </c>
    </row>
    <row r="442" customFormat="false" ht="15" hidden="false" customHeight="false" outlineLevel="0" collapsed="false">
      <c r="A442" s="90" t="str">
        <f aca="false">SRC_Price!$A39&amp;""</f>
        <v>SRC_PRC_035</v>
      </c>
      <c r="B442" s="59" t="s">
        <v>8329</v>
      </c>
      <c r="C442" s="58" t="n">
        <v>39</v>
      </c>
      <c r="D442" s="90" t="str">
        <f aca="false">SRC_Price!$O39</f>
        <v>Active</v>
      </c>
      <c r="E442" s="90" t="n">
        <f aca="false">SRC_Price!$K39</f>
        <v>2</v>
      </c>
      <c r="F442" s="90" t="str">
        <f aca="false">SRC_Price!$S39</f>
        <v>—</v>
      </c>
    </row>
    <row r="443" customFormat="false" ht="15" hidden="false" customHeight="false" outlineLevel="0" collapsed="false">
      <c r="A443" s="90" t="str">
        <f aca="false">SRC_Price!$A40&amp;""</f>
        <v>SRC_PRC_036</v>
      </c>
      <c r="B443" s="59" t="s">
        <v>8329</v>
      </c>
      <c r="C443" s="58" t="n">
        <v>40</v>
      </c>
      <c r="D443" s="90" t="str">
        <f aca="false">SRC_Price!$O40</f>
        <v>Active</v>
      </c>
      <c r="E443" s="90" t="n">
        <f aca="false">SRC_Price!$K40</f>
        <v>2</v>
      </c>
      <c r="F443" s="90" t="str">
        <f aca="false">SRC_Price!$S40</f>
        <v>—</v>
      </c>
    </row>
    <row r="444" customFormat="false" ht="15" hidden="false" customHeight="false" outlineLevel="0" collapsed="false">
      <c r="A444" s="90" t="str">
        <f aca="false">SRC_Price!$A41&amp;""</f>
        <v>SRC_PRC_037</v>
      </c>
      <c r="B444" s="59" t="s">
        <v>8329</v>
      </c>
      <c r="C444" s="58" t="n">
        <v>41</v>
      </c>
      <c r="D444" s="90" t="str">
        <f aca="false">SRC_Price!$O41</f>
        <v>Active</v>
      </c>
      <c r="E444" s="90" t="n">
        <f aca="false">SRC_Price!$K41</f>
        <v>2</v>
      </c>
      <c r="F444" s="90" t="str">
        <f aca="false">SRC_Price!$S41</f>
        <v>—</v>
      </c>
    </row>
    <row r="445" customFormat="false" ht="15" hidden="false" customHeight="false" outlineLevel="0" collapsed="false">
      <c r="A445" s="90" t="str">
        <f aca="false">SRC_Price!$A42&amp;""</f>
        <v>SRC_PRC_038</v>
      </c>
      <c r="B445" s="59" t="s">
        <v>8329</v>
      </c>
      <c r="C445" s="58" t="n">
        <v>42</v>
      </c>
      <c r="D445" s="90" t="str">
        <f aca="false">SRC_Price!$O42</f>
        <v>Active</v>
      </c>
      <c r="E445" s="90" t="n">
        <f aca="false">SRC_Price!$K42</f>
        <v>2</v>
      </c>
      <c r="F445" s="90" t="str">
        <f aca="false">SRC_Price!$S42</f>
        <v>—</v>
      </c>
    </row>
    <row r="446" customFormat="false" ht="15" hidden="false" customHeight="false" outlineLevel="0" collapsed="false">
      <c r="A446" s="90" t="str">
        <f aca="false">SRC_Price!$A43&amp;""</f>
        <v>SRC_PRC_039</v>
      </c>
      <c r="B446" s="59" t="s">
        <v>8329</v>
      </c>
      <c r="C446" s="58" t="n">
        <v>43</v>
      </c>
      <c r="D446" s="90" t="str">
        <f aca="false">SRC_Price!$O43</f>
        <v>Active</v>
      </c>
      <c r="E446" s="90" t="n">
        <f aca="false">SRC_Price!$K43</f>
        <v>2</v>
      </c>
      <c r="F446" s="90" t="str">
        <f aca="false">SRC_Price!$S43</f>
        <v>—</v>
      </c>
    </row>
    <row r="447" customFormat="false" ht="15" hidden="false" customHeight="false" outlineLevel="0" collapsed="false">
      <c r="A447" s="90" t="str">
        <f aca="false">SRC_Price!$A44&amp;""</f>
        <v>SRC_PRC_040</v>
      </c>
      <c r="B447" s="59" t="s">
        <v>8329</v>
      </c>
      <c r="C447" s="58" t="n">
        <v>44</v>
      </c>
      <c r="D447" s="90" t="str">
        <f aca="false">SRC_Price!$O44</f>
        <v>Active</v>
      </c>
      <c r="E447" s="90" t="n">
        <f aca="false">SRC_Price!$K44</f>
        <v>2</v>
      </c>
      <c r="F447" s="90" t="str">
        <f aca="false">SRC_Price!$S44</f>
        <v>—</v>
      </c>
    </row>
    <row r="448" customFormat="false" ht="15" hidden="false" customHeight="false" outlineLevel="0" collapsed="false">
      <c r="A448" s="90" t="str">
        <f aca="false">SRC_Price!$A45&amp;""</f>
        <v>SRC_PRC_041</v>
      </c>
      <c r="B448" s="59" t="s">
        <v>8329</v>
      </c>
      <c r="C448" s="58" t="n">
        <v>45</v>
      </c>
      <c r="D448" s="90" t="str">
        <f aca="false">SRC_Price!$O45</f>
        <v>Alt</v>
      </c>
      <c r="E448" s="90" t="n">
        <f aca="false">SRC_Price!$K45</f>
        <v>2</v>
      </c>
      <c r="F448" s="90" t="str">
        <f aca="false">SRC_Price!$S45</f>
        <v>—</v>
      </c>
    </row>
    <row r="449" customFormat="false" ht="15" hidden="false" customHeight="false" outlineLevel="0" collapsed="false">
      <c r="A449" s="90" t="str">
        <f aca="false">SRC_Price!$A46&amp;""</f>
        <v>SRC_PRC_042</v>
      </c>
      <c r="B449" s="59" t="s">
        <v>8329</v>
      </c>
      <c r="C449" s="58" t="n">
        <v>46</v>
      </c>
      <c r="D449" s="90" t="str">
        <f aca="false">SRC_Price!$O46</f>
        <v>Alt</v>
      </c>
      <c r="E449" s="90" t="n">
        <f aca="false">SRC_Price!$K46</f>
        <v>2</v>
      </c>
      <c r="F449" s="90" t="str">
        <f aca="false">SRC_Price!$S46</f>
        <v>—</v>
      </c>
    </row>
    <row r="450" customFormat="false" ht="15" hidden="false" customHeight="false" outlineLevel="0" collapsed="false">
      <c r="A450" s="90" t="str">
        <f aca="false">SRC_Price!$A47&amp;""</f>
        <v>SRC_PRC_043</v>
      </c>
      <c r="B450" s="59" t="s">
        <v>8329</v>
      </c>
      <c r="C450" s="58" t="n">
        <v>47</v>
      </c>
      <c r="D450" s="90" t="str">
        <f aca="false">SRC_Price!$O47</f>
        <v>Active</v>
      </c>
      <c r="E450" s="90" t="n">
        <f aca="false">SRC_Price!$K47</f>
        <v>2</v>
      </c>
      <c r="F450" s="90" t="str">
        <f aca="false">SRC_Price!$S47</f>
        <v>—</v>
      </c>
    </row>
    <row r="451" customFormat="false" ht="15" hidden="false" customHeight="false" outlineLevel="0" collapsed="false">
      <c r="A451" s="90" t="str">
        <f aca="false">SRC_Price!$A48&amp;""</f>
        <v>SRC_PRC_044</v>
      </c>
      <c r="B451" s="59" t="s">
        <v>8329</v>
      </c>
      <c r="C451" s="58" t="n">
        <v>48</v>
      </c>
      <c r="D451" s="90" t="str">
        <f aca="false">SRC_Price!$O48</f>
        <v>Active</v>
      </c>
      <c r="E451" s="90" t="n">
        <f aca="false">SRC_Price!$K48</f>
        <v>2</v>
      </c>
      <c r="F451" s="90" t="str">
        <f aca="false">SRC_Price!$S48</f>
        <v>—</v>
      </c>
    </row>
    <row r="452" customFormat="false" ht="15" hidden="false" customHeight="false" outlineLevel="0" collapsed="false">
      <c r="A452" s="90" t="str">
        <f aca="false">SRC_Price!$A49&amp;""</f>
        <v/>
      </c>
      <c r="B452" s="59" t="s">
        <v>8329</v>
      </c>
      <c r="C452" s="58" t="n">
        <v>49</v>
      </c>
      <c r="D452" s="90" t="n">
        <f aca="false">SRC_Price!$O49</f>
        <v>0</v>
      </c>
      <c r="E452" s="90" t="n">
        <f aca="false">SRC_Price!$K49</f>
        <v>0</v>
      </c>
      <c r="F452" s="90" t="n">
        <f aca="false">SRC_Price!$S49</f>
        <v>0</v>
      </c>
    </row>
    <row r="453" customFormat="false" ht="15" hidden="false" customHeight="false" outlineLevel="0" collapsed="false">
      <c r="A453" s="90" t="str">
        <f aca="false">SRC_Price!$A50&amp;""</f>
        <v/>
      </c>
      <c r="B453" s="59" t="s">
        <v>8329</v>
      </c>
      <c r="C453" s="58" t="n">
        <v>50</v>
      </c>
      <c r="D453" s="90" t="n">
        <f aca="false">SRC_Price!$O50</f>
        <v>0</v>
      </c>
      <c r="E453" s="90" t="n">
        <f aca="false">SRC_Price!$K50</f>
        <v>0</v>
      </c>
      <c r="F453" s="90" t="n">
        <f aca="false">SRC_Price!$S50</f>
        <v>0</v>
      </c>
    </row>
    <row r="454" customFormat="false" ht="15" hidden="false" customHeight="false" outlineLevel="0" collapsed="false">
      <c r="A454" s="90" t="str">
        <f aca="false">SRC_Price!$A51&amp;""</f>
        <v/>
      </c>
      <c r="B454" s="59" t="s">
        <v>8329</v>
      </c>
      <c r="C454" s="58" t="n">
        <v>51</v>
      </c>
      <c r="D454" s="90" t="n">
        <f aca="false">SRC_Price!$O51</f>
        <v>0</v>
      </c>
      <c r="E454" s="90" t="n">
        <f aca="false">SRC_Price!$K51</f>
        <v>0</v>
      </c>
      <c r="F454" s="90" t="n">
        <f aca="false">SRC_Price!$S51</f>
        <v>0</v>
      </c>
    </row>
    <row r="455" customFormat="false" ht="15" hidden="false" customHeight="false" outlineLevel="0" collapsed="false">
      <c r="A455" s="90" t="str">
        <f aca="false">SRC_Price!$A52&amp;""</f>
        <v/>
      </c>
      <c r="B455" s="59" t="s">
        <v>8329</v>
      </c>
      <c r="C455" s="58" t="n">
        <v>52</v>
      </c>
      <c r="D455" s="90" t="n">
        <f aca="false">SRC_Price!$O52</f>
        <v>0</v>
      </c>
      <c r="E455" s="90" t="n">
        <f aca="false">SRC_Price!$K52</f>
        <v>0</v>
      </c>
      <c r="F455" s="90" t="n">
        <f aca="false">SRC_Price!$S52</f>
        <v>0</v>
      </c>
    </row>
    <row r="456" customFormat="false" ht="15" hidden="false" customHeight="false" outlineLevel="0" collapsed="false">
      <c r="A456" s="90" t="str">
        <f aca="false">SRC_Price!$A53&amp;""</f>
        <v/>
      </c>
      <c r="B456" s="59" t="s">
        <v>8329</v>
      </c>
      <c r="C456" s="58" t="n">
        <v>53</v>
      </c>
      <c r="D456" s="90" t="n">
        <f aca="false">SRC_Price!$O53</f>
        <v>0</v>
      </c>
      <c r="E456" s="90" t="n">
        <f aca="false">SRC_Price!$K53</f>
        <v>0</v>
      </c>
      <c r="F456" s="90" t="n">
        <f aca="false">SRC_Price!$S53</f>
        <v>0</v>
      </c>
    </row>
    <row r="457" customFormat="false" ht="15" hidden="false" customHeight="false" outlineLevel="0" collapsed="false">
      <c r="A457" s="90" t="str">
        <f aca="false">SRC_Price!$A54&amp;""</f>
        <v/>
      </c>
      <c r="B457" s="59" t="s">
        <v>8329</v>
      </c>
      <c r="C457" s="58" t="n">
        <v>54</v>
      </c>
      <c r="D457" s="90" t="n">
        <f aca="false">SRC_Price!$O54</f>
        <v>0</v>
      </c>
      <c r="E457" s="90" t="n">
        <f aca="false">SRC_Price!$K54</f>
        <v>0</v>
      </c>
      <c r="F457" s="90" t="n">
        <f aca="false">SRC_Price!$S54</f>
        <v>0</v>
      </c>
    </row>
    <row r="458" customFormat="false" ht="15" hidden="false" customHeight="false" outlineLevel="0" collapsed="false">
      <c r="A458" s="90" t="str">
        <f aca="false">SRC_Price!$A55&amp;""</f>
        <v/>
      </c>
      <c r="B458" s="59" t="s">
        <v>8329</v>
      </c>
      <c r="C458" s="58" t="n">
        <v>55</v>
      </c>
      <c r="D458" s="90" t="n">
        <f aca="false">SRC_Price!$O55</f>
        <v>0</v>
      </c>
      <c r="E458" s="90" t="n">
        <f aca="false">SRC_Price!$K55</f>
        <v>0</v>
      </c>
      <c r="F458" s="90" t="n">
        <f aca="false">SRC_Price!$S55</f>
        <v>0</v>
      </c>
    </row>
    <row r="459" customFormat="false" ht="15" hidden="false" customHeight="false" outlineLevel="0" collapsed="false">
      <c r="A459" s="90" t="str">
        <f aca="false">SRC_Price!$A56&amp;""</f>
        <v/>
      </c>
      <c r="B459" s="59" t="s">
        <v>8329</v>
      </c>
      <c r="C459" s="58" t="n">
        <v>56</v>
      </c>
      <c r="D459" s="90" t="n">
        <f aca="false">SRC_Price!$O56</f>
        <v>0</v>
      </c>
      <c r="E459" s="90" t="n">
        <f aca="false">SRC_Price!$K56</f>
        <v>0</v>
      </c>
      <c r="F459" s="90" t="n">
        <f aca="false">SRC_Price!$S56</f>
        <v>0</v>
      </c>
    </row>
    <row r="460" customFormat="false" ht="15" hidden="false" customHeight="false" outlineLevel="0" collapsed="false">
      <c r="A460" s="90" t="str">
        <f aca="false">SRC_Price!$A57&amp;""</f>
        <v/>
      </c>
      <c r="B460" s="59" t="s">
        <v>8329</v>
      </c>
      <c r="C460" s="58" t="n">
        <v>57</v>
      </c>
      <c r="D460" s="90" t="n">
        <f aca="false">SRC_Price!$O57</f>
        <v>0</v>
      </c>
      <c r="E460" s="90" t="n">
        <f aca="false">SRC_Price!$K57</f>
        <v>0</v>
      </c>
      <c r="F460" s="90" t="n">
        <f aca="false">SRC_Price!$S57</f>
        <v>0</v>
      </c>
    </row>
    <row r="461" customFormat="false" ht="15" hidden="false" customHeight="false" outlineLevel="0" collapsed="false">
      <c r="A461" s="90" t="str">
        <f aca="false">SRC_Price!$A58&amp;""</f>
        <v/>
      </c>
      <c r="B461" s="59" t="s">
        <v>8329</v>
      </c>
      <c r="C461" s="58" t="n">
        <v>58</v>
      </c>
      <c r="D461" s="90" t="n">
        <f aca="false">SRC_Price!$O58</f>
        <v>0</v>
      </c>
      <c r="E461" s="90" t="n">
        <f aca="false">SRC_Price!$K58</f>
        <v>0</v>
      </c>
      <c r="F461" s="90" t="n">
        <f aca="false">SRC_Price!$S58</f>
        <v>0</v>
      </c>
    </row>
    <row r="462" customFormat="false" ht="15" hidden="false" customHeight="false" outlineLevel="0" collapsed="false">
      <c r="A462" s="90" t="str">
        <f aca="false">SRC_Price!$A59&amp;""</f>
        <v/>
      </c>
      <c r="B462" s="59" t="s">
        <v>8329</v>
      </c>
      <c r="C462" s="58" t="n">
        <v>59</v>
      </c>
      <c r="D462" s="90" t="n">
        <f aca="false">SRC_Price!$O59</f>
        <v>0</v>
      </c>
      <c r="E462" s="90" t="n">
        <f aca="false">SRC_Price!$K59</f>
        <v>0</v>
      </c>
      <c r="F462" s="90" t="n">
        <f aca="false">SRC_Price!$S59</f>
        <v>0</v>
      </c>
    </row>
    <row r="463" customFormat="false" ht="15" hidden="false" customHeight="false" outlineLevel="0" collapsed="false">
      <c r="A463" s="90" t="str">
        <f aca="false">SRC_Price!$A60&amp;""</f>
        <v/>
      </c>
      <c r="B463" s="59" t="s">
        <v>8329</v>
      </c>
      <c r="C463" s="58" t="n">
        <v>60</v>
      </c>
      <c r="D463" s="90" t="n">
        <f aca="false">SRC_Price!$O60</f>
        <v>0</v>
      </c>
      <c r="E463" s="90" t="n">
        <f aca="false">SRC_Price!$K60</f>
        <v>0</v>
      </c>
      <c r="F463" s="90" t="n">
        <f aca="false">SRC_Price!$S60</f>
        <v>0</v>
      </c>
    </row>
    <row r="464" customFormat="false" ht="15" hidden="false" customHeight="false" outlineLevel="0" collapsed="false">
      <c r="A464" s="90" t="str">
        <f aca="false">SRC_Price!$A61&amp;""</f>
        <v/>
      </c>
      <c r="B464" s="59" t="s">
        <v>8329</v>
      </c>
      <c r="C464" s="58" t="n">
        <v>61</v>
      </c>
      <c r="D464" s="90" t="n">
        <f aca="false">SRC_Price!$O61</f>
        <v>0</v>
      </c>
      <c r="E464" s="90" t="n">
        <f aca="false">SRC_Price!$K61</f>
        <v>0</v>
      </c>
      <c r="F464" s="90" t="n">
        <f aca="false">SRC_Price!$S61</f>
        <v>0</v>
      </c>
    </row>
    <row r="465" customFormat="false" ht="15" hidden="false" customHeight="false" outlineLevel="0" collapsed="false">
      <c r="A465" s="90" t="str">
        <f aca="false">SRC_Price!$A62&amp;""</f>
        <v/>
      </c>
      <c r="B465" s="59" t="s">
        <v>8329</v>
      </c>
      <c r="C465" s="58" t="n">
        <v>62</v>
      </c>
      <c r="D465" s="90" t="n">
        <f aca="false">SRC_Price!$O62</f>
        <v>0</v>
      </c>
      <c r="E465" s="90" t="n">
        <f aca="false">SRC_Price!$K62</f>
        <v>0</v>
      </c>
      <c r="F465" s="90" t="n">
        <f aca="false">SRC_Price!$S62</f>
        <v>0</v>
      </c>
    </row>
    <row r="466" customFormat="false" ht="15" hidden="false" customHeight="false" outlineLevel="0" collapsed="false">
      <c r="A466" s="90" t="str">
        <f aca="false">SRC_Price!$A63&amp;""</f>
        <v/>
      </c>
      <c r="B466" s="59" t="s">
        <v>8329</v>
      </c>
      <c r="C466" s="58" t="n">
        <v>63</v>
      </c>
      <c r="D466" s="90" t="n">
        <f aca="false">SRC_Price!$O63</f>
        <v>0</v>
      </c>
      <c r="E466" s="90" t="n">
        <f aca="false">SRC_Price!$K63</f>
        <v>0</v>
      </c>
      <c r="F466" s="90" t="n">
        <f aca="false">SRC_Price!$S63</f>
        <v>0</v>
      </c>
    </row>
    <row r="467" customFormat="false" ht="15" hidden="false" customHeight="false" outlineLevel="0" collapsed="false">
      <c r="A467" s="90" t="str">
        <f aca="false">SRC_Price!$A64&amp;""</f>
        <v/>
      </c>
      <c r="B467" s="59" t="s">
        <v>8329</v>
      </c>
      <c r="C467" s="58" t="n">
        <v>64</v>
      </c>
      <c r="D467" s="90" t="n">
        <f aca="false">SRC_Price!$O64</f>
        <v>0</v>
      </c>
      <c r="E467" s="90" t="n">
        <f aca="false">SRC_Price!$K64</f>
        <v>0</v>
      </c>
      <c r="F467" s="90" t="n">
        <f aca="false">SRC_Price!$S64</f>
        <v>0</v>
      </c>
    </row>
    <row r="468" customFormat="false" ht="15" hidden="false" customHeight="false" outlineLevel="0" collapsed="false">
      <c r="A468" s="90" t="str">
        <f aca="false">SRC_Price!$A65&amp;""</f>
        <v/>
      </c>
      <c r="B468" s="59" t="s">
        <v>8329</v>
      </c>
      <c r="C468" s="58" t="n">
        <v>65</v>
      </c>
      <c r="D468" s="90" t="n">
        <f aca="false">SRC_Price!$O65</f>
        <v>0</v>
      </c>
      <c r="E468" s="90" t="n">
        <f aca="false">SRC_Price!$K65</f>
        <v>0</v>
      </c>
      <c r="F468" s="90" t="n">
        <f aca="false">SRC_Price!$S65</f>
        <v>0</v>
      </c>
    </row>
    <row r="469" customFormat="false" ht="15" hidden="false" customHeight="false" outlineLevel="0" collapsed="false">
      <c r="A469" s="90" t="str">
        <f aca="false">SRC_Price!$A66&amp;""</f>
        <v/>
      </c>
      <c r="B469" s="59" t="s">
        <v>8329</v>
      </c>
      <c r="C469" s="58" t="n">
        <v>66</v>
      </c>
      <c r="D469" s="90" t="n">
        <f aca="false">SRC_Price!$O66</f>
        <v>0</v>
      </c>
      <c r="E469" s="90" t="n">
        <f aca="false">SRC_Price!$K66</f>
        <v>0</v>
      </c>
      <c r="F469" s="90" t="n">
        <f aca="false">SRC_Price!$S66</f>
        <v>0</v>
      </c>
    </row>
    <row r="470" customFormat="false" ht="15" hidden="false" customHeight="false" outlineLevel="0" collapsed="false">
      <c r="A470" s="90" t="str">
        <f aca="false">SRC_Price!$A67&amp;""</f>
        <v/>
      </c>
      <c r="B470" s="59" t="s">
        <v>8329</v>
      </c>
      <c r="C470" s="58" t="n">
        <v>67</v>
      </c>
      <c r="D470" s="90" t="n">
        <f aca="false">SRC_Price!$O67</f>
        <v>0</v>
      </c>
      <c r="E470" s="90" t="n">
        <f aca="false">SRC_Price!$K67</f>
        <v>0</v>
      </c>
      <c r="F470" s="90" t="n">
        <f aca="false">SRC_Price!$S67</f>
        <v>0</v>
      </c>
    </row>
    <row r="471" customFormat="false" ht="15" hidden="false" customHeight="false" outlineLevel="0" collapsed="false">
      <c r="A471" s="90" t="str">
        <f aca="false">SRC_Price!$A68&amp;""</f>
        <v/>
      </c>
      <c r="B471" s="59" t="s">
        <v>8329</v>
      </c>
      <c r="C471" s="58" t="n">
        <v>68</v>
      </c>
      <c r="D471" s="90" t="n">
        <f aca="false">SRC_Price!$O68</f>
        <v>0</v>
      </c>
      <c r="E471" s="90" t="n">
        <f aca="false">SRC_Price!$K68</f>
        <v>0</v>
      </c>
      <c r="F471" s="90" t="n">
        <f aca="false">SRC_Price!$S68</f>
        <v>0</v>
      </c>
    </row>
    <row r="472" customFormat="false" ht="15" hidden="false" customHeight="false" outlineLevel="0" collapsed="false">
      <c r="A472" s="90" t="str">
        <f aca="false">SRC_Price!$A69&amp;""</f>
        <v/>
      </c>
      <c r="B472" s="59" t="s">
        <v>8329</v>
      </c>
      <c r="C472" s="58" t="n">
        <v>69</v>
      </c>
      <c r="D472" s="90" t="n">
        <f aca="false">SRC_Price!$O69</f>
        <v>0</v>
      </c>
      <c r="E472" s="90" t="n">
        <f aca="false">SRC_Price!$K69</f>
        <v>0</v>
      </c>
      <c r="F472" s="90" t="n">
        <f aca="false">SRC_Price!$S69</f>
        <v>0</v>
      </c>
    </row>
    <row r="473" customFormat="false" ht="15" hidden="false" customHeight="false" outlineLevel="0" collapsed="false">
      <c r="A473" s="90" t="str">
        <f aca="false">SRC_Price!$A70&amp;""</f>
        <v/>
      </c>
      <c r="B473" s="59" t="s">
        <v>8329</v>
      </c>
      <c r="C473" s="58" t="n">
        <v>70</v>
      </c>
      <c r="D473" s="90" t="n">
        <f aca="false">SRC_Price!$O70</f>
        <v>0</v>
      </c>
      <c r="E473" s="90" t="n">
        <f aca="false">SRC_Price!$K70</f>
        <v>0</v>
      </c>
      <c r="F473" s="90" t="n">
        <f aca="false">SRC_Price!$S70</f>
        <v>0</v>
      </c>
    </row>
    <row r="474" customFormat="false" ht="15" hidden="false" customHeight="false" outlineLevel="0" collapsed="false">
      <c r="A474" s="90" t="str">
        <f aca="false">SRC_Price!$A71&amp;""</f>
        <v/>
      </c>
      <c r="B474" s="59" t="s">
        <v>8329</v>
      </c>
      <c r="C474" s="58" t="n">
        <v>71</v>
      </c>
      <c r="D474" s="90" t="n">
        <f aca="false">SRC_Price!$O71</f>
        <v>0</v>
      </c>
      <c r="E474" s="90" t="n">
        <f aca="false">SRC_Price!$K71</f>
        <v>0</v>
      </c>
      <c r="F474" s="90" t="n">
        <f aca="false">SRC_Price!$S71</f>
        <v>0</v>
      </c>
    </row>
    <row r="475" customFormat="false" ht="15" hidden="false" customHeight="false" outlineLevel="0" collapsed="false">
      <c r="A475" s="90" t="str">
        <f aca="false">SRC_Price!$A72&amp;""</f>
        <v/>
      </c>
      <c r="B475" s="59" t="s">
        <v>8329</v>
      </c>
      <c r="C475" s="58" t="n">
        <v>72</v>
      </c>
      <c r="D475" s="90" t="n">
        <f aca="false">SRC_Price!$O72</f>
        <v>0</v>
      </c>
      <c r="E475" s="90" t="n">
        <f aca="false">SRC_Price!$K72</f>
        <v>0</v>
      </c>
      <c r="F475" s="90" t="n">
        <f aca="false">SRC_Price!$S72</f>
        <v>0</v>
      </c>
    </row>
    <row r="476" customFormat="false" ht="15" hidden="false" customHeight="false" outlineLevel="0" collapsed="false">
      <c r="A476" s="90" t="str">
        <f aca="false">SRC_Price!$A73&amp;""</f>
        <v/>
      </c>
      <c r="B476" s="59" t="s">
        <v>8329</v>
      </c>
      <c r="C476" s="58" t="n">
        <v>73</v>
      </c>
      <c r="D476" s="90" t="n">
        <f aca="false">SRC_Price!$O73</f>
        <v>0</v>
      </c>
      <c r="E476" s="90" t="n">
        <f aca="false">SRC_Price!$K73</f>
        <v>0</v>
      </c>
      <c r="F476" s="90" t="n">
        <f aca="false">SRC_Price!$S73</f>
        <v>0</v>
      </c>
    </row>
    <row r="477" customFormat="false" ht="15" hidden="false" customHeight="false" outlineLevel="0" collapsed="false">
      <c r="A477" s="90" t="str">
        <f aca="false">SRC_Price!$A74&amp;""</f>
        <v/>
      </c>
      <c r="B477" s="59" t="s">
        <v>8329</v>
      </c>
      <c r="C477" s="58" t="n">
        <v>74</v>
      </c>
      <c r="D477" s="90" t="n">
        <f aca="false">SRC_Price!$O74</f>
        <v>0</v>
      </c>
      <c r="E477" s="90" t="n">
        <f aca="false">SRC_Price!$K74</f>
        <v>0</v>
      </c>
      <c r="F477" s="90" t="n">
        <f aca="false">SRC_Price!$S74</f>
        <v>0</v>
      </c>
    </row>
    <row r="478" customFormat="false" ht="15" hidden="false" customHeight="false" outlineLevel="0" collapsed="false">
      <c r="A478" s="90" t="str">
        <f aca="false">SRC_Price!$A75&amp;""</f>
        <v/>
      </c>
      <c r="B478" s="59" t="s">
        <v>8329</v>
      </c>
      <c r="C478" s="58" t="n">
        <v>75</v>
      </c>
      <c r="D478" s="90" t="n">
        <f aca="false">SRC_Price!$O75</f>
        <v>0</v>
      </c>
      <c r="E478" s="90" t="n">
        <f aca="false">SRC_Price!$K75</f>
        <v>0</v>
      </c>
      <c r="F478" s="90" t="n">
        <f aca="false">SRC_Price!$S75</f>
        <v>0</v>
      </c>
    </row>
    <row r="479" customFormat="false" ht="15" hidden="false" customHeight="false" outlineLevel="0" collapsed="false">
      <c r="A479" s="90" t="str">
        <f aca="false">SRC_Price!$A76&amp;""</f>
        <v/>
      </c>
      <c r="B479" s="59" t="s">
        <v>8329</v>
      </c>
      <c r="C479" s="58" t="n">
        <v>76</v>
      </c>
      <c r="D479" s="90" t="n">
        <f aca="false">SRC_Price!$O76</f>
        <v>0</v>
      </c>
      <c r="E479" s="90" t="n">
        <f aca="false">SRC_Price!$K76</f>
        <v>0</v>
      </c>
      <c r="F479" s="90" t="n">
        <f aca="false">SRC_Price!$S76</f>
        <v>0</v>
      </c>
    </row>
    <row r="480" customFormat="false" ht="15" hidden="false" customHeight="false" outlineLevel="0" collapsed="false">
      <c r="A480" s="90" t="str">
        <f aca="false">SRC_Price!$A77&amp;""</f>
        <v/>
      </c>
      <c r="B480" s="59" t="s">
        <v>8329</v>
      </c>
      <c r="C480" s="58" t="n">
        <v>77</v>
      </c>
      <c r="D480" s="90" t="n">
        <f aca="false">SRC_Price!$O77</f>
        <v>0</v>
      </c>
      <c r="E480" s="90" t="n">
        <f aca="false">SRC_Price!$K77</f>
        <v>0</v>
      </c>
      <c r="F480" s="90" t="n">
        <f aca="false">SRC_Price!$S77</f>
        <v>0</v>
      </c>
    </row>
    <row r="481" customFormat="false" ht="15" hidden="false" customHeight="false" outlineLevel="0" collapsed="false">
      <c r="A481" s="90" t="str">
        <f aca="false">SRC_Price!$A78&amp;""</f>
        <v/>
      </c>
      <c r="B481" s="59" t="s">
        <v>8329</v>
      </c>
      <c r="C481" s="58" t="n">
        <v>78</v>
      </c>
      <c r="D481" s="90" t="n">
        <f aca="false">SRC_Price!$O78</f>
        <v>0</v>
      </c>
      <c r="E481" s="90" t="n">
        <f aca="false">SRC_Price!$K78</f>
        <v>0</v>
      </c>
      <c r="F481" s="90" t="n">
        <f aca="false">SRC_Price!$S78</f>
        <v>0</v>
      </c>
    </row>
    <row r="482" customFormat="false" ht="15" hidden="false" customHeight="false" outlineLevel="0" collapsed="false">
      <c r="A482" s="90" t="str">
        <f aca="false">SRC_Price!$A79&amp;""</f>
        <v/>
      </c>
      <c r="B482" s="59" t="s">
        <v>8329</v>
      </c>
      <c r="C482" s="58" t="n">
        <v>79</v>
      </c>
      <c r="D482" s="90" t="n">
        <f aca="false">SRC_Price!$O79</f>
        <v>0</v>
      </c>
      <c r="E482" s="90" t="n">
        <f aca="false">SRC_Price!$K79</f>
        <v>0</v>
      </c>
      <c r="F482" s="90" t="n">
        <f aca="false">SRC_Price!$S79</f>
        <v>0</v>
      </c>
    </row>
    <row r="483" customFormat="false" ht="15" hidden="false" customHeight="false" outlineLevel="0" collapsed="false">
      <c r="A483" s="90" t="str">
        <f aca="false">SRC_Price!$A80&amp;""</f>
        <v/>
      </c>
      <c r="B483" s="59" t="s">
        <v>8329</v>
      </c>
      <c r="C483" s="58" t="n">
        <v>80</v>
      </c>
      <c r="D483" s="90" t="n">
        <f aca="false">SRC_Price!$O80</f>
        <v>0</v>
      </c>
      <c r="E483" s="90" t="n">
        <f aca="false">SRC_Price!$K80</f>
        <v>0</v>
      </c>
      <c r="F483" s="90" t="n">
        <f aca="false">SRC_Price!$S80</f>
        <v>0</v>
      </c>
    </row>
    <row r="484" customFormat="false" ht="15" hidden="false" customHeight="false" outlineLevel="0" collapsed="false">
      <c r="A484" s="90" t="str">
        <f aca="false">SRC_Price!$A81&amp;""</f>
        <v/>
      </c>
      <c r="B484" s="59" t="s">
        <v>8329</v>
      </c>
      <c r="C484" s="58" t="n">
        <v>81</v>
      </c>
      <c r="D484" s="90" t="n">
        <f aca="false">SRC_Price!$O81</f>
        <v>0</v>
      </c>
      <c r="E484" s="90" t="n">
        <f aca="false">SRC_Price!$K81</f>
        <v>0</v>
      </c>
      <c r="F484" s="90" t="n">
        <f aca="false">SRC_Price!$S81</f>
        <v>0</v>
      </c>
    </row>
    <row r="485" customFormat="false" ht="15" hidden="false" customHeight="false" outlineLevel="0" collapsed="false">
      <c r="A485" s="90" t="str">
        <f aca="false">SRC_Price!$A82&amp;""</f>
        <v/>
      </c>
      <c r="B485" s="59" t="s">
        <v>8329</v>
      </c>
      <c r="C485" s="58" t="n">
        <v>82</v>
      </c>
      <c r="D485" s="90" t="n">
        <f aca="false">SRC_Price!$O82</f>
        <v>0</v>
      </c>
      <c r="E485" s="90" t="n">
        <f aca="false">SRC_Price!$K82</f>
        <v>0</v>
      </c>
      <c r="F485" s="90" t="n">
        <f aca="false">SRC_Price!$S82</f>
        <v>0</v>
      </c>
    </row>
    <row r="486" customFormat="false" ht="15" hidden="false" customHeight="false" outlineLevel="0" collapsed="false">
      <c r="A486" s="90" t="str">
        <f aca="false">SRC_Price!$A83&amp;""</f>
        <v/>
      </c>
      <c r="B486" s="59" t="s">
        <v>8329</v>
      </c>
      <c r="C486" s="58" t="n">
        <v>83</v>
      </c>
      <c r="D486" s="90" t="n">
        <f aca="false">SRC_Price!$O83</f>
        <v>0</v>
      </c>
      <c r="E486" s="90" t="n">
        <f aca="false">SRC_Price!$K83</f>
        <v>0</v>
      </c>
      <c r="F486" s="90" t="n">
        <f aca="false">SRC_Price!$S83</f>
        <v>0</v>
      </c>
    </row>
    <row r="487" customFormat="false" ht="15" hidden="false" customHeight="false" outlineLevel="0" collapsed="false">
      <c r="A487" s="90" t="str">
        <f aca="false">SRC_Price!$A84&amp;""</f>
        <v/>
      </c>
      <c r="B487" s="59" t="s">
        <v>8329</v>
      </c>
      <c r="C487" s="58" t="n">
        <v>84</v>
      </c>
      <c r="D487" s="90" t="n">
        <f aca="false">SRC_Price!$O84</f>
        <v>0</v>
      </c>
      <c r="E487" s="90" t="n">
        <f aca="false">SRC_Price!$K84</f>
        <v>0</v>
      </c>
      <c r="F487" s="90" t="n">
        <f aca="false">SRC_Price!$S84</f>
        <v>0</v>
      </c>
    </row>
    <row r="488" customFormat="false" ht="15" hidden="false" customHeight="false" outlineLevel="0" collapsed="false">
      <c r="A488" s="90" t="str">
        <f aca="false">SRC_Price!$A85&amp;""</f>
        <v/>
      </c>
      <c r="B488" s="59" t="s">
        <v>8329</v>
      </c>
      <c r="C488" s="58" t="n">
        <v>85</v>
      </c>
      <c r="D488" s="90" t="n">
        <f aca="false">SRC_Price!$O85</f>
        <v>0</v>
      </c>
      <c r="E488" s="90" t="n">
        <f aca="false">SRC_Price!$K85</f>
        <v>0</v>
      </c>
      <c r="F488" s="90" t="n">
        <f aca="false">SRC_Price!$S85</f>
        <v>0</v>
      </c>
    </row>
    <row r="489" customFormat="false" ht="15" hidden="false" customHeight="false" outlineLevel="0" collapsed="false">
      <c r="A489" s="90" t="str">
        <f aca="false">SRC_Price!$A86&amp;""</f>
        <v/>
      </c>
      <c r="B489" s="59" t="s">
        <v>8329</v>
      </c>
      <c r="C489" s="58" t="n">
        <v>86</v>
      </c>
      <c r="D489" s="90" t="n">
        <f aca="false">SRC_Price!$O86</f>
        <v>0</v>
      </c>
      <c r="E489" s="90" t="n">
        <f aca="false">SRC_Price!$K86</f>
        <v>0</v>
      </c>
      <c r="F489" s="90" t="n">
        <f aca="false">SRC_Price!$S86</f>
        <v>0</v>
      </c>
    </row>
    <row r="490" customFormat="false" ht="15" hidden="false" customHeight="false" outlineLevel="0" collapsed="false">
      <c r="A490" s="90" t="str">
        <f aca="false">SRC_Price!$A87&amp;""</f>
        <v/>
      </c>
      <c r="B490" s="59" t="s">
        <v>8329</v>
      </c>
      <c r="C490" s="58" t="n">
        <v>87</v>
      </c>
      <c r="D490" s="90" t="n">
        <f aca="false">SRC_Price!$O87</f>
        <v>0</v>
      </c>
      <c r="E490" s="90" t="n">
        <f aca="false">SRC_Price!$K87</f>
        <v>0</v>
      </c>
      <c r="F490" s="90" t="n">
        <f aca="false">SRC_Price!$S87</f>
        <v>0</v>
      </c>
    </row>
    <row r="491" customFormat="false" ht="15" hidden="false" customHeight="false" outlineLevel="0" collapsed="false">
      <c r="A491" s="90" t="str">
        <f aca="false">SRC_Price!$A88&amp;""</f>
        <v/>
      </c>
      <c r="B491" s="59" t="s">
        <v>8329</v>
      </c>
      <c r="C491" s="58" t="n">
        <v>88</v>
      </c>
      <c r="D491" s="90" t="n">
        <f aca="false">SRC_Price!$O88</f>
        <v>0</v>
      </c>
      <c r="E491" s="90" t="n">
        <f aca="false">SRC_Price!$K88</f>
        <v>0</v>
      </c>
      <c r="F491" s="90" t="n">
        <f aca="false">SRC_Price!$S88</f>
        <v>0</v>
      </c>
    </row>
    <row r="492" customFormat="false" ht="15" hidden="false" customHeight="false" outlineLevel="0" collapsed="false">
      <c r="A492" s="90" t="str">
        <f aca="false">SRC_Price!$A89&amp;""</f>
        <v/>
      </c>
      <c r="B492" s="59" t="s">
        <v>8329</v>
      </c>
      <c r="C492" s="58" t="n">
        <v>89</v>
      </c>
      <c r="D492" s="90" t="n">
        <f aca="false">SRC_Price!$O89</f>
        <v>0</v>
      </c>
      <c r="E492" s="90" t="n">
        <f aca="false">SRC_Price!$K89</f>
        <v>0</v>
      </c>
      <c r="F492" s="90" t="n">
        <f aca="false">SRC_Price!$S89</f>
        <v>0</v>
      </c>
    </row>
    <row r="493" customFormat="false" ht="15" hidden="false" customHeight="false" outlineLevel="0" collapsed="false">
      <c r="A493" s="90" t="str">
        <f aca="false">SRC_Price!$A90&amp;""</f>
        <v/>
      </c>
      <c r="B493" s="59" t="s">
        <v>8329</v>
      </c>
      <c r="C493" s="58" t="n">
        <v>90</v>
      </c>
      <c r="D493" s="90" t="n">
        <f aca="false">SRC_Price!$O90</f>
        <v>0</v>
      </c>
      <c r="E493" s="90" t="n">
        <f aca="false">SRC_Price!$K90</f>
        <v>0</v>
      </c>
      <c r="F493" s="90" t="n">
        <f aca="false">SRC_Price!$S90</f>
        <v>0</v>
      </c>
    </row>
    <row r="494" customFormat="false" ht="15" hidden="false" customHeight="false" outlineLevel="0" collapsed="false">
      <c r="A494" s="90" t="str">
        <f aca="false">SRC_Price!$A91&amp;""</f>
        <v/>
      </c>
      <c r="B494" s="59" t="s">
        <v>8329</v>
      </c>
      <c r="C494" s="58" t="n">
        <v>91</v>
      </c>
      <c r="D494" s="90" t="n">
        <f aca="false">SRC_Price!$O91</f>
        <v>0</v>
      </c>
      <c r="E494" s="90" t="n">
        <f aca="false">SRC_Price!$K91</f>
        <v>0</v>
      </c>
      <c r="F494" s="90" t="n">
        <f aca="false">SRC_Price!$S91</f>
        <v>0</v>
      </c>
    </row>
    <row r="495" customFormat="false" ht="15" hidden="false" customHeight="false" outlineLevel="0" collapsed="false">
      <c r="A495" s="90" t="str">
        <f aca="false">SRC_Price!$A92&amp;""</f>
        <v/>
      </c>
      <c r="B495" s="59" t="s">
        <v>8329</v>
      </c>
      <c r="C495" s="58" t="n">
        <v>92</v>
      </c>
      <c r="D495" s="90" t="n">
        <f aca="false">SRC_Price!$O92</f>
        <v>0</v>
      </c>
      <c r="E495" s="90" t="n">
        <f aca="false">SRC_Price!$K92</f>
        <v>0</v>
      </c>
      <c r="F495" s="90" t="n">
        <f aca="false">SRC_Price!$S92</f>
        <v>0</v>
      </c>
    </row>
    <row r="496" customFormat="false" ht="15" hidden="false" customHeight="false" outlineLevel="0" collapsed="false">
      <c r="A496" s="90" t="str">
        <f aca="false">SRC_Price!$A93&amp;""</f>
        <v/>
      </c>
      <c r="B496" s="59" t="s">
        <v>8329</v>
      </c>
      <c r="C496" s="58" t="n">
        <v>93</v>
      </c>
      <c r="D496" s="90" t="n">
        <f aca="false">SRC_Price!$O93</f>
        <v>0</v>
      </c>
      <c r="E496" s="90" t="n">
        <f aca="false">SRC_Price!$K93</f>
        <v>0</v>
      </c>
      <c r="F496" s="90" t="n">
        <f aca="false">SRC_Price!$S93</f>
        <v>0</v>
      </c>
    </row>
    <row r="497" customFormat="false" ht="15" hidden="false" customHeight="false" outlineLevel="0" collapsed="false">
      <c r="A497" s="90" t="str">
        <f aca="false">SRC_Price!$A94&amp;""</f>
        <v/>
      </c>
      <c r="B497" s="59" t="s">
        <v>8329</v>
      </c>
      <c r="C497" s="58" t="n">
        <v>94</v>
      </c>
      <c r="D497" s="90" t="n">
        <f aca="false">SRC_Price!$O94</f>
        <v>0</v>
      </c>
      <c r="E497" s="90" t="n">
        <f aca="false">SRC_Price!$K94</f>
        <v>0</v>
      </c>
      <c r="F497" s="90" t="n">
        <f aca="false">SRC_Price!$S94</f>
        <v>0</v>
      </c>
    </row>
    <row r="498" customFormat="false" ht="15" hidden="false" customHeight="false" outlineLevel="0" collapsed="false">
      <c r="A498" s="90" t="str">
        <f aca="false">SRC_Price!$A95&amp;""</f>
        <v/>
      </c>
      <c r="B498" s="59" t="s">
        <v>8329</v>
      </c>
      <c r="C498" s="58" t="n">
        <v>95</v>
      </c>
      <c r="D498" s="90" t="n">
        <f aca="false">SRC_Price!$O95</f>
        <v>0</v>
      </c>
      <c r="E498" s="90" t="n">
        <f aca="false">SRC_Price!$K95</f>
        <v>0</v>
      </c>
      <c r="F498" s="90" t="n">
        <f aca="false">SRC_Price!$S95</f>
        <v>0</v>
      </c>
    </row>
    <row r="499" customFormat="false" ht="15" hidden="false" customHeight="false" outlineLevel="0" collapsed="false">
      <c r="A499" s="90" t="str">
        <f aca="false">SRC_Price!$A96&amp;""</f>
        <v/>
      </c>
      <c r="B499" s="59" t="s">
        <v>8329</v>
      </c>
      <c r="C499" s="58" t="n">
        <v>96</v>
      </c>
      <c r="D499" s="90" t="n">
        <f aca="false">SRC_Price!$O96</f>
        <v>0</v>
      </c>
      <c r="E499" s="90" t="n">
        <f aca="false">SRC_Price!$K96</f>
        <v>0</v>
      </c>
      <c r="F499" s="90" t="n">
        <f aca="false">SRC_Price!$S96</f>
        <v>0</v>
      </c>
    </row>
    <row r="500" customFormat="false" ht="15" hidden="false" customHeight="false" outlineLevel="0" collapsed="false">
      <c r="A500" s="90" t="str">
        <f aca="false">SRC_Price!$A97&amp;""</f>
        <v/>
      </c>
      <c r="B500" s="59" t="s">
        <v>8329</v>
      </c>
      <c r="C500" s="58" t="n">
        <v>97</v>
      </c>
      <c r="D500" s="90" t="n">
        <f aca="false">SRC_Price!$O97</f>
        <v>0</v>
      </c>
      <c r="E500" s="90" t="n">
        <f aca="false">SRC_Price!$K97</f>
        <v>0</v>
      </c>
      <c r="F500" s="90" t="n">
        <f aca="false">SRC_Price!$S97</f>
        <v>0</v>
      </c>
    </row>
    <row r="501" customFormat="false" ht="15" hidden="false" customHeight="false" outlineLevel="0" collapsed="false">
      <c r="A501" s="90" t="str">
        <f aca="false">SRC_Price!$A98&amp;""</f>
        <v/>
      </c>
      <c r="B501" s="59" t="s">
        <v>8329</v>
      </c>
      <c r="C501" s="58" t="n">
        <v>98</v>
      </c>
      <c r="D501" s="90" t="n">
        <f aca="false">SRC_Price!$O98</f>
        <v>0</v>
      </c>
      <c r="E501" s="90" t="n">
        <f aca="false">SRC_Price!$K98</f>
        <v>0</v>
      </c>
      <c r="F501" s="90" t="n">
        <f aca="false">SRC_Price!$S98</f>
        <v>0</v>
      </c>
    </row>
    <row r="502" customFormat="false" ht="15" hidden="false" customHeight="false" outlineLevel="0" collapsed="false">
      <c r="A502" s="90" t="str">
        <f aca="false">SRC_Cap!$A5&amp;""</f>
        <v>SRC_CAP_001</v>
      </c>
      <c r="B502" s="59" t="s">
        <v>8330</v>
      </c>
      <c r="C502" s="58" t="n">
        <v>5</v>
      </c>
      <c r="D502" s="90" t="str">
        <f aca="false">SRC_Cap!$O5</f>
        <v>Active</v>
      </c>
      <c r="E502" s="90" t="n">
        <f aca="false">SRC_Cap!$K5</f>
        <v>2</v>
      </c>
      <c r="F502" s="90" t="str">
        <f aca="false">SRC_Cap!$S5</f>
        <v>—</v>
      </c>
    </row>
    <row r="503" customFormat="false" ht="15" hidden="false" customHeight="false" outlineLevel="0" collapsed="false">
      <c r="A503" s="90" t="str">
        <f aca="false">SRC_Cap!$A6&amp;""</f>
        <v>SRC_CAP_002</v>
      </c>
      <c r="B503" s="59" t="s">
        <v>8330</v>
      </c>
      <c r="C503" s="58" t="n">
        <v>6</v>
      </c>
      <c r="D503" s="90" t="str">
        <f aca="false">SRC_Cap!$O6</f>
        <v>Active</v>
      </c>
      <c r="E503" s="90" t="n">
        <f aca="false">SRC_Cap!$K6</f>
        <v>2</v>
      </c>
      <c r="F503" s="90" t="str">
        <f aca="false">SRC_Cap!$S6</f>
        <v>—</v>
      </c>
    </row>
    <row r="504" customFormat="false" ht="15" hidden="false" customHeight="false" outlineLevel="0" collapsed="false">
      <c r="A504" s="90" t="str">
        <f aca="false">SRC_Cap!$A7&amp;""</f>
        <v>SRC_CAP_003</v>
      </c>
      <c r="B504" s="59" t="s">
        <v>8330</v>
      </c>
      <c r="C504" s="58" t="n">
        <v>7</v>
      </c>
      <c r="D504" s="90" t="str">
        <f aca="false">SRC_Cap!$O7</f>
        <v>Active</v>
      </c>
      <c r="E504" s="90" t="n">
        <f aca="false">SRC_Cap!$K7</f>
        <v>2</v>
      </c>
      <c r="F504" s="90" t="str">
        <f aca="false">SRC_Cap!$S7</f>
        <v>—</v>
      </c>
    </row>
    <row r="505" customFormat="false" ht="15" hidden="false" customHeight="false" outlineLevel="0" collapsed="false">
      <c r="A505" s="90" t="str">
        <f aca="false">SRC_Cap!$A8&amp;""</f>
        <v>SRC_CAP_004</v>
      </c>
      <c r="B505" s="59" t="s">
        <v>8330</v>
      </c>
      <c r="C505" s="58" t="n">
        <v>8</v>
      </c>
      <c r="D505" s="90" t="str">
        <f aca="false">SRC_Cap!$O8</f>
        <v>Active</v>
      </c>
      <c r="E505" s="90" t="n">
        <f aca="false">SRC_Cap!$K8</f>
        <v>2</v>
      </c>
      <c r="F505" s="90" t="str">
        <f aca="false">SRC_Cap!$S8</f>
        <v>—</v>
      </c>
    </row>
    <row r="506" customFormat="false" ht="15" hidden="false" customHeight="false" outlineLevel="0" collapsed="false">
      <c r="A506" s="90" t="str">
        <f aca="false">SRC_Cap!$A9&amp;""</f>
        <v>SRC_CAP_005</v>
      </c>
      <c r="B506" s="59" t="s">
        <v>8330</v>
      </c>
      <c r="C506" s="58" t="n">
        <v>9</v>
      </c>
      <c r="D506" s="90" t="str">
        <f aca="false">SRC_Cap!$O9</f>
        <v>Active</v>
      </c>
      <c r="E506" s="90" t="n">
        <f aca="false">SRC_Cap!$K9</f>
        <v>2</v>
      </c>
      <c r="F506" s="90" t="str">
        <f aca="false">SRC_Cap!$S9</f>
        <v>—</v>
      </c>
    </row>
    <row r="507" customFormat="false" ht="15" hidden="false" customHeight="false" outlineLevel="0" collapsed="false">
      <c r="A507" s="90" t="str">
        <f aca="false">SRC_Cap!$A10&amp;""</f>
        <v>SRC_CAP_006</v>
      </c>
      <c r="B507" s="59" t="s">
        <v>8330</v>
      </c>
      <c r="C507" s="58" t="n">
        <v>10</v>
      </c>
      <c r="D507" s="90" t="str">
        <f aca="false">SRC_Cap!$O10</f>
        <v>Active</v>
      </c>
      <c r="E507" s="90" t="n">
        <f aca="false">SRC_Cap!$K10</f>
        <v>2</v>
      </c>
      <c r="F507" s="90" t="str">
        <f aca="false">SRC_Cap!$S10</f>
        <v>—</v>
      </c>
    </row>
    <row r="508" customFormat="false" ht="15" hidden="false" customHeight="false" outlineLevel="0" collapsed="false">
      <c r="A508" s="90" t="str">
        <f aca="false">SRC_Cap!$A11&amp;""</f>
        <v>SRC_CAP_007</v>
      </c>
      <c r="B508" s="59" t="s">
        <v>8330</v>
      </c>
      <c r="C508" s="58" t="n">
        <v>11</v>
      </c>
      <c r="D508" s="90" t="str">
        <f aca="false">SRC_Cap!$O11</f>
        <v>Active</v>
      </c>
      <c r="E508" s="90" t="n">
        <f aca="false">SRC_Cap!$K11</f>
        <v>2</v>
      </c>
      <c r="F508" s="90" t="str">
        <f aca="false">SRC_Cap!$S11</f>
        <v>—</v>
      </c>
    </row>
    <row r="509" customFormat="false" ht="15" hidden="false" customHeight="false" outlineLevel="0" collapsed="false">
      <c r="A509" s="90" t="str">
        <f aca="false">SRC_Cap!$A12&amp;""</f>
        <v>SRC_CAP_008</v>
      </c>
      <c r="B509" s="59" t="s">
        <v>8330</v>
      </c>
      <c r="C509" s="58" t="n">
        <v>12</v>
      </c>
      <c r="D509" s="90" t="str">
        <f aca="false">SRC_Cap!$O12</f>
        <v>Active</v>
      </c>
      <c r="E509" s="90" t="n">
        <f aca="false">SRC_Cap!$K12</f>
        <v>1</v>
      </c>
      <c r="F509" s="90" t="str">
        <f aca="false">SRC_Cap!$S12</f>
        <v>2026-10-05</v>
      </c>
    </row>
    <row r="510" customFormat="false" ht="15" hidden="false" customHeight="false" outlineLevel="0" collapsed="false">
      <c r="A510" s="90" t="str">
        <f aca="false">SRC_Cap!$A13&amp;""</f>
        <v>SRC_CAP_009</v>
      </c>
      <c r="B510" s="59" t="s">
        <v>8330</v>
      </c>
      <c r="C510" s="58" t="n">
        <v>13</v>
      </c>
      <c r="D510" s="90" t="str">
        <f aca="false">SRC_Cap!$O13</f>
        <v>Active</v>
      </c>
      <c r="E510" s="90" t="n">
        <f aca="false">SRC_Cap!$K13</f>
        <v>3</v>
      </c>
      <c r="F510" s="90" t="str">
        <f aca="false">SRC_Cap!$S13</f>
        <v>—</v>
      </c>
    </row>
    <row r="511" customFormat="false" ht="15" hidden="false" customHeight="false" outlineLevel="0" collapsed="false">
      <c r="A511" s="90" t="str">
        <f aca="false">SRC_Cap!$A14&amp;""</f>
        <v>SRC_CAP_010</v>
      </c>
      <c r="B511" s="59" t="s">
        <v>8330</v>
      </c>
      <c r="C511" s="58" t="n">
        <v>14</v>
      </c>
      <c r="D511" s="90" t="str">
        <f aca="false">SRC_Cap!$O14</f>
        <v>Active</v>
      </c>
      <c r="E511" s="90" t="n">
        <f aca="false">SRC_Cap!$K14</f>
        <v>3</v>
      </c>
      <c r="F511" s="90" t="str">
        <f aca="false">SRC_Cap!$S14</f>
        <v>—</v>
      </c>
    </row>
    <row r="512" customFormat="false" ht="15" hidden="false" customHeight="false" outlineLevel="0" collapsed="false">
      <c r="A512" s="90" t="str">
        <f aca="false">SRC_Cap!$A15&amp;""</f>
        <v>SRC_CAP_011</v>
      </c>
      <c r="B512" s="59" t="s">
        <v>8330</v>
      </c>
      <c r="C512" s="58" t="n">
        <v>15</v>
      </c>
      <c r="D512" s="90" t="str">
        <f aca="false">SRC_Cap!$O15</f>
        <v>Active</v>
      </c>
      <c r="E512" s="90" t="n">
        <f aca="false">SRC_Cap!$K15</f>
        <v>1</v>
      </c>
      <c r="F512" s="90" t="str">
        <f aca="false">SRC_Cap!$S15</f>
        <v>2026-10-05</v>
      </c>
    </row>
    <row r="513" customFormat="false" ht="15" hidden="false" customHeight="false" outlineLevel="0" collapsed="false">
      <c r="A513" s="90" t="str">
        <f aca="false">SRC_Cap!$A16&amp;""</f>
        <v>SRC_CAP_012</v>
      </c>
      <c r="B513" s="59" t="s">
        <v>8330</v>
      </c>
      <c r="C513" s="58" t="n">
        <v>16</v>
      </c>
      <c r="D513" s="90" t="str">
        <f aca="false">SRC_Cap!$O16</f>
        <v>Active</v>
      </c>
      <c r="E513" s="90" t="n">
        <f aca="false">SRC_Cap!$K16</f>
        <v>2</v>
      </c>
      <c r="F513" s="90" t="str">
        <f aca="false">SRC_Cap!$S16</f>
        <v>—</v>
      </c>
    </row>
    <row r="514" customFormat="false" ht="15" hidden="false" customHeight="false" outlineLevel="0" collapsed="false">
      <c r="A514" s="90" t="str">
        <f aca="false">SRC_Cap!$A17&amp;""</f>
        <v>SRC_CAP_013</v>
      </c>
      <c r="B514" s="59" t="s">
        <v>8330</v>
      </c>
      <c r="C514" s="58" t="n">
        <v>17</v>
      </c>
      <c r="D514" s="90" t="str">
        <f aca="false">SRC_Cap!$O17</f>
        <v>Active</v>
      </c>
      <c r="E514" s="90" t="n">
        <f aca="false">SRC_Cap!$K17</f>
        <v>2</v>
      </c>
      <c r="F514" s="90" t="str">
        <f aca="false">SRC_Cap!$S17</f>
        <v>—</v>
      </c>
    </row>
    <row r="515" customFormat="false" ht="15" hidden="false" customHeight="false" outlineLevel="0" collapsed="false">
      <c r="A515" s="90" t="str">
        <f aca="false">SRC_Cap!$A18&amp;""</f>
        <v>SRC_CAP_014</v>
      </c>
      <c r="B515" s="59" t="s">
        <v>8330</v>
      </c>
      <c r="C515" s="58" t="n">
        <v>18</v>
      </c>
      <c r="D515" s="90" t="str">
        <f aca="false">SRC_Cap!$O18</f>
        <v>Active</v>
      </c>
      <c r="E515" s="90" t="n">
        <f aca="false">SRC_Cap!$K18</f>
        <v>2</v>
      </c>
      <c r="F515" s="90" t="str">
        <f aca="false">SRC_Cap!$S18</f>
        <v>—</v>
      </c>
    </row>
    <row r="516" customFormat="false" ht="15" hidden="false" customHeight="false" outlineLevel="0" collapsed="false">
      <c r="A516" s="90" t="str">
        <f aca="false">SRC_Cap!$A19&amp;""</f>
        <v>SRC_CAP_015</v>
      </c>
      <c r="B516" s="59" t="s">
        <v>8330</v>
      </c>
      <c r="C516" s="58" t="n">
        <v>19</v>
      </c>
      <c r="D516" s="90" t="str">
        <f aca="false">SRC_Cap!$O19</f>
        <v>Active</v>
      </c>
      <c r="E516" s="90" t="n">
        <f aca="false">SRC_Cap!$K19</f>
        <v>2</v>
      </c>
      <c r="F516" s="90" t="str">
        <f aca="false">SRC_Cap!$S19</f>
        <v>—</v>
      </c>
    </row>
    <row r="517" customFormat="false" ht="15" hidden="false" customHeight="false" outlineLevel="0" collapsed="false">
      <c r="A517" s="90" t="str">
        <f aca="false">SRC_Cap!$A20&amp;""</f>
        <v>SRC_CAP_016</v>
      </c>
      <c r="B517" s="59" t="s">
        <v>8330</v>
      </c>
      <c r="C517" s="58" t="n">
        <v>20</v>
      </c>
      <c r="D517" s="90" t="str">
        <f aca="false">SRC_Cap!$O20</f>
        <v>Active</v>
      </c>
      <c r="E517" s="90" t="n">
        <f aca="false">SRC_Cap!$K20</f>
        <v>2</v>
      </c>
      <c r="F517" s="90" t="str">
        <f aca="false">SRC_Cap!$S20</f>
        <v>—</v>
      </c>
    </row>
    <row r="518" customFormat="false" ht="15" hidden="false" customHeight="false" outlineLevel="0" collapsed="false">
      <c r="A518" s="90" t="str">
        <f aca="false">SRC_Cap!$A21&amp;""</f>
        <v>SRC_CAP_017</v>
      </c>
      <c r="B518" s="59" t="s">
        <v>8330</v>
      </c>
      <c r="C518" s="58" t="n">
        <v>21</v>
      </c>
      <c r="D518" s="90" t="str">
        <f aca="false">SRC_Cap!$O21</f>
        <v>Active</v>
      </c>
      <c r="E518" s="90" t="n">
        <f aca="false">SRC_Cap!$K21</f>
        <v>2</v>
      </c>
      <c r="F518" s="90" t="str">
        <f aca="false">SRC_Cap!$S21</f>
        <v>—</v>
      </c>
    </row>
    <row r="519" customFormat="false" ht="15" hidden="false" customHeight="false" outlineLevel="0" collapsed="false">
      <c r="A519" s="90" t="str">
        <f aca="false">SRC_Cap!$A22&amp;""</f>
        <v>SRC_CAP_018</v>
      </c>
      <c r="B519" s="59" t="s">
        <v>8330</v>
      </c>
      <c r="C519" s="58" t="n">
        <v>22</v>
      </c>
      <c r="D519" s="90" t="str">
        <f aca="false">SRC_Cap!$O22</f>
        <v>Active</v>
      </c>
      <c r="E519" s="90" t="n">
        <f aca="false">SRC_Cap!$K22</f>
        <v>2</v>
      </c>
      <c r="F519" s="90" t="str">
        <f aca="false">SRC_Cap!$S22</f>
        <v>—</v>
      </c>
    </row>
    <row r="520" customFormat="false" ht="15" hidden="false" customHeight="false" outlineLevel="0" collapsed="false">
      <c r="A520" s="90" t="str">
        <f aca="false">SRC_Cap!$A23&amp;""</f>
        <v>SRC_CAP_019</v>
      </c>
      <c r="B520" s="59" t="s">
        <v>8330</v>
      </c>
      <c r="C520" s="58" t="n">
        <v>23</v>
      </c>
      <c r="D520" s="90" t="str">
        <f aca="false">SRC_Cap!$O23</f>
        <v>Active</v>
      </c>
      <c r="E520" s="90" t="n">
        <f aca="false">SRC_Cap!$K23</f>
        <v>2</v>
      </c>
      <c r="F520" s="90" t="str">
        <f aca="false">SRC_Cap!$S23</f>
        <v>—</v>
      </c>
    </row>
    <row r="521" customFormat="false" ht="15" hidden="false" customHeight="false" outlineLevel="0" collapsed="false">
      <c r="A521" s="90" t="str">
        <f aca="false">SRC_Cap!$A24&amp;""</f>
        <v>SRC_CAP_020</v>
      </c>
      <c r="B521" s="59" t="s">
        <v>8330</v>
      </c>
      <c r="C521" s="58" t="n">
        <v>24</v>
      </c>
      <c r="D521" s="90" t="str">
        <f aca="false">SRC_Cap!$O24</f>
        <v>Active</v>
      </c>
      <c r="E521" s="90" t="n">
        <f aca="false">SRC_Cap!$K24</f>
        <v>2</v>
      </c>
      <c r="F521" s="90" t="str">
        <f aca="false">SRC_Cap!$S24</f>
        <v>—</v>
      </c>
    </row>
    <row r="522" customFormat="false" ht="15" hidden="false" customHeight="false" outlineLevel="0" collapsed="false">
      <c r="A522" s="90" t="str">
        <f aca="false">SRC_Cap!$A25&amp;""</f>
        <v>SRC_CAP_021</v>
      </c>
      <c r="B522" s="59" t="s">
        <v>8330</v>
      </c>
      <c r="C522" s="58" t="n">
        <v>25</v>
      </c>
      <c r="D522" s="90" t="str">
        <f aca="false">SRC_Cap!$O25</f>
        <v>Active</v>
      </c>
      <c r="E522" s="90" t="n">
        <f aca="false">SRC_Cap!$K25</f>
        <v>2</v>
      </c>
      <c r="F522" s="90" t="str">
        <f aca="false">SRC_Cap!$S25</f>
        <v>—</v>
      </c>
    </row>
    <row r="523" customFormat="false" ht="15" hidden="false" customHeight="false" outlineLevel="0" collapsed="false">
      <c r="A523" s="90" t="str">
        <f aca="false">SRC_Cap!$A26&amp;""</f>
        <v/>
      </c>
      <c r="B523" s="59" t="s">
        <v>8330</v>
      </c>
      <c r="C523" s="58" t="n">
        <v>26</v>
      </c>
      <c r="D523" s="90" t="n">
        <f aca="false">SRC_Cap!$O26</f>
        <v>0</v>
      </c>
      <c r="E523" s="90" t="n">
        <f aca="false">SRC_Cap!$K26</f>
        <v>0</v>
      </c>
      <c r="F523" s="90" t="n">
        <f aca="false">SRC_Cap!$S26</f>
        <v>0</v>
      </c>
    </row>
    <row r="524" customFormat="false" ht="15" hidden="false" customHeight="false" outlineLevel="0" collapsed="false">
      <c r="A524" s="90" t="str">
        <f aca="false">SRC_Cap!$A27&amp;""</f>
        <v/>
      </c>
      <c r="B524" s="59" t="s">
        <v>8330</v>
      </c>
      <c r="C524" s="58" t="n">
        <v>27</v>
      </c>
      <c r="D524" s="90" t="n">
        <f aca="false">SRC_Cap!$O27</f>
        <v>0</v>
      </c>
      <c r="E524" s="90" t="n">
        <f aca="false">SRC_Cap!$K27</f>
        <v>0</v>
      </c>
      <c r="F524" s="90" t="n">
        <f aca="false">SRC_Cap!$S27</f>
        <v>0</v>
      </c>
    </row>
    <row r="525" customFormat="false" ht="15" hidden="false" customHeight="false" outlineLevel="0" collapsed="false">
      <c r="A525" s="90" t="str">
        <f aca="false">SRC_Cap!$A28&amp;""</f>
        <v/>
      </c>
      <c r="B525" s="59" t="s">
        <v>8330</v>
      </c>
      <c r="C525" s="58" t="n">
        <v>28</v>
      </c>
      <c r="D525" s="90" t="n">
        <f aca="false">SRC_Cap!$O28</f>
        <v>0</v>
      </c>
      <c r="E525" s="90" t="n">
        <f aca="false">SRC_Cap!$K28</f>
        <v>0</v>
      </c>
      <c r="F525" s="90" t="n">
        <f aca="false">SRC_Cap!$S28</f>
        <v>0</v>
      </c>
    </row>
    <row r="526" customFormat="false" ht="15" hidden="false" customHeight="false" outlineLevel="0" collapsed="false">
      <c r="A526" s="90" t="str">
        <f aca="false">SRC_Cap!$A29&amp;""</f>
        <v/>
      </c>
      <c r="B526" s="59" t="s">
        <v>8330</v>
      </c>
      <c r="C526" s="58" t="n">
        <v>29</v>
      </c>
      <c r="D526" s="90" t="n">
        <f aca="false">SRC_Cap!$O29</f>
        <v>0</v>
      </c>
      <c r="E526" s="90" t="n">
        <f aca="false">SRC_Cap!$K29</f>
        <v>0</v>
      </c>
      <c r="F526" s="90" t="n">
        <f aca="false">SRC_Cap!$S29</f>
        <v>0</v>
      </c>
    </row>
    <row r="527" customFormat="false" ht="15" hidden="false" customHeight="false" outlineLevel="0" collapsed="false">
      <c r="A527" s="90" t="str">
        <f aca="false">SRC_Cap!$A30&amp;""</f>
        <v/>
      </c>
      <c r="B527" s="59" t="s">
        <v>8330</v>
      </c>
      <c r="C527" s="58" t="n">
        <v>30</v>
      </c>
      <c r="D527" s="90" t="n">
        <f aca="false">SRC_Cap!$O30</f>
        <v>0</v>
      </c>
      <c r="E527" s="90" t="n">
        <f aca="false">SRC_Cap!$K30</f>
        <v>0</v>
      </c>
      <c r="F527" s="90" t="n">
        <f aca="false">SRC_Cap!$S30</f>
        <v>0</v>
      </c>
    </row>
    <row r="528" customFormat="false" ht="15" hidden="false" customHeight="false" outlineLevel="0" collapsed="false">
      <c r="A528" s="90" t="str">
        <f aca="false">SRC_Cap!$A31&amp;""</f>
        <v/>
      </c>
      <c r="B528" s="59" t="s">
        <v>8330</v>
      </c>
      <c r="C528" s="58" t="n">
        <v>31</v>
      </c>
      <c r="D528" s="90" t="n">
        <f aca="false">SRC_Cap!$O31</f>
        <v>0</v>
      </c>
      <c r="E528" s="90" t="n">
        <f aca="false">SRC_Cap!$K31</f>
        <v>0</v>
      </c>
      <c r="F528" s="90" t="n">
        <f aca="false">SRC_Cap!$S31</f>
        <v>0</v>
      </c>
    </row>
    <row r="529" customFormat="false" ht="15" hidden="false" customHeight="false" outlineLevel="0" collapsed="false">
      <c r="A529" s="90" t="str">
        <f aca="false">SRC_Cap!$A32&amp;""</f>
        <v/>
      </c>
      <c r="B529" s="59" t="s">
        <v>8330</v>
      </c>
      <c r="C529" s="58" t="n">
        <v>32</v>
      </c>
      <c r="D529" s="90" t="n">
        <f aca="false">SRC_Cap!$O32</f>
        <v>0</v>
      </c>
      <c r="E529" s="90" t="n">
        <f aca="false">SRC_Cap!$K32</f>
        <v>0</v>
      </c>
      <c r="F529" s="90" t="n">
        <f aca="false">SRC_Cap!$S32</f>
        <v>0</v>
      </c>
    </row>
    <row r="530" customFormat="false" ht="15" hidden="false" customHeight="false" outlineLevel="0" collapsed="false">
      <c r="A530" s="90" t="str">
        <f aca="false">SRC_Cap!$A33&amp;""</f>
        <v/>
      </c>
      <c r="B530" s="59" t="s">
        <v>8330</v>
      </c>
      <c r="C530" s="58" t="n">
        <v>33</v>
      </c>
      <c r="D530" s="90" t="n">
        <f aca="false">SRC_Cap!$O33</f>
        <v>0</v>
      </c>
      <c r="E530" s="90" t="n">
        <f aca="false">SRC_Cap!$K33</f>
        <v>0</v>
      </c>
      <c r="F530" s="90" t="n">
        <f aca="false">SRC_Cap!$S33</f>
        <v>0</v>
      </c>
    </row>
    <row r="531" customFormat="false" ht="15" hidden="false" customHeight="false" outlineLevel="0" collapsed="false">
      <c r="A531" s="90" t="str">
        <f aca="false">SRC_Cap!$A34&amp;""</f>
        <v/>
      </c>
      <c r="B531" s="59" t="s">
        <v>8330</v>
      </c>
      <c r="C531" s="58" t="n">
        <v>34</v>
      </c>
      <c r="D531" s="90" t="n">
        <f aca="false">SRC_Cap!$O34</f>
        <v>0</v>
      </c>
      <c r="E531" s="90" t="n">
        <f aca="false">SRC_Cap!$K34</f>
        <v>0</v>
      </c>
      <c r="F531" s="90" t="n">
        <f aca="false">SRC_Cap!$S34</f>
        <v>0</v>
      </c>
    </row>
    <row r="532" customFormat="false" ht="15" hidden="false" customHeight="false" outlineLevel="0" collapsed="false">
      <c r="A532" s="90" t="str">
        <f aca="false">SRC_Cap!$A35&amp;""</f>
        <v/>
      </c>
      <c r="B532" s="59" t="s">
        <v>8330</v>
      </c>
      <c r="C532" s="58" t="n">
        <v>35</v>
      </c>
      <c r="D532" s="90" t="n">
        <f aca="false">SRC_Cap!$O35</f>
        <v>0</v>
      </c>
      <c r="E532" s="90" t="n">
        <f aca="false">SRC_Cap!$K35</f>
        <v>0</v>
      </c>
      <c r="F532" s="90" t="n">
        <f aca="false">SRC_Cap!$S35</f>
        <v>0</v>
      </c>
    </row>
    <row r="533" customFormat="false" ht="15" hidden="false" customHeight="false" outlineLevel="0" collapsed="false">
      <c r="A533" s="90" t="str">
        <f aca="false">SRC_Cap!$A36&amp;""</f>
        <v/>
      </c>
      <c r="B533" s="59" t="s">
        <v>8330</v>
      </c>
      <c r="C533" s="58" t="n">
        <v>36</v>
      </c>
      <c r="D533" s="90" t="n">
        <f aca="false">SRC_Cap!$O36</f>
        <v>0</v>
      </c>
      <c r="E533" s="90" t="n">
        <f aca="false">SRC_Cap!$K36</f>
        <v>0</v>
      </c>
      <c r="F533" s="90" t="n">
        <f aca="false">SRC_Cap!$S36</f>
        <v>0</v>
      </c>
    </row>
    <row r="534" customFormat="false" ht="15" hidden="false" customHeight="false" outlineLevel="0" collapsed="false">
      <c r="A534" s="90" t="str">
        <f aca="false">SRC_Cap!$A37&amp;""</f>
        <v/>
      </c>
      <c r="B534" s="59" t="s">
        <v>8330</v>
      </c>
      <c r="C534" s="58" t="n">
        <v>37</v>
      </c>
      <c r="D534" s="90" t="n">
        <f aca="false">SRC_Cap!$O37</f>
        <v>0</v>
      </c>
      <c r="E534" s="90" t="n">
        <f aca="false">SRC_Cap!$K37</f>
        <v>0</v>
      </c>
      <c r="F534" s="90" t="n">
        <f aca="false">SRC_Cap!$S37</f>
        <v>0</v>
      </c>
    </row>
    <row r="535" customFormat="false" ht="15" hidden="false" customHeight="false" outlineLevel="0" collapsed="false">
      <c r="A535" s="90" t="str">
        <f aca="false">SRC_Cap!$A38&amp;""</f>
        <v/>
      </c>
      <c r="B535" s="59" t="s">
        <v>8330</v>
      </c>
      <c r="C535" s="58" t="n">
        <v>38</v>
      </c>
      <c r="D535" s="90" t="n">
        <f aca="false">SRC_Cap!$O38</f>
        <v>0</v>
      </c>
      <c r="E535" s="90" t="n">
        <f aca="false">SRC_Cap!$K38</f>
        <v>0</v>
      </c>
      <c r="F535" s="90" t="n">
        <f aca="false">SRC_Cap!$S38</f>
        <v>0</v>
      </c>
    </row>
    <row r="536" customFormat="false" ht="15" hidden="false" customHeight="false" outlineLevel="0" collapsed="false">
      <c r="A536" s="90" t="str">
        <f aca="false">SRC_Cap!$A39&amp;""</f>
        <v/>
      </c>
      <c r="B536" s="59" t="s">
        <v>8330</v>
      </c>
      <c r="C536" s="58" t="n">
        <v>39</v>
      </c>
      <c r="D536" s="90" t="n">
        <f aca="false">SRC_Cap!$O39</f>
        <v>0</v>
      </c>
      <c r="E536" s="90" t="n">
        <f aca="false">SRC_Cap!$K39</f>
        <v>0</v>
      </c>
      <c r="F536" s="90" t="n">
        <f aca="false">SRC_Cap!$S39</f>
        <v>0</v>
      </c>
    </row>
    <row r="537" customFormat="false" ht="15" hidden="false" customHeight="false" outlineLevel="0" collapsed="false">
      <c r="A537" s="90" t="str">
        <f aca="false">SRC_Cap!$A40&amp;""</f>
        <v/>
      </c>
      <c r="B537" s="59" t="s">
        <v>8330</v>
      </c>
      <c r="C537" s="58" t="n">
        <v>40</v>
      </c>
      <c r="D537" s="90" t="n">
        <f aca="false">SRC_Cap!$O40</f>
        <v>0</v>
      </c>
      <c r="E537" s="90" t="n">
        <f aca="false">SRC_Cap!$K40</f>
        <v>0</v>
      </c>
      <c r="F537" s="90" t="n">
        <f aca="false">SRC_Cap!$S40</f>
        <v>0</v>
      </c>
    </row>
    <row r="538" customFormat="false" ht="15" hidden="false" customHeight="false" outlineLevel="0" collapsed="false">
      <c r="A538" s="90" t="str">
        <f aca="false">SRC_Cap!$A41&amp;""</f>
        <v/>
      </c>
      <c r="B538" s="59" t="s">
        <v>8330</v>
      </c>
      <c r="C538" s="58" t="n">
        <v>41</v>
      </c>
      <c r="D538" s="90" t="n">
        <f aca="false">SRC_Cap!$O41</f>
        <v>0</v>
      </c>
      <c r="E538" s="90" t="n">
        <f aca="false">SRC_Cap!$K41</f>
        <v>0</v>
      </c>
      <c r="F538" s="90" t="n">
        <f aca="false">SRC_Cap!$S41</f>
        <v>0</v>
      </c>
    </row>
    <row r="539" customFormat="false" ht="15" hidden="false" customHeight="false" outlineLevel="0" collapsed="false">
      <c r="A539" s="90" t="str">
        <f aca="false">SRC_Cap!$A42&amp;""</f>
        <v/>
      </c>
      <c r="B539" s="59" t="s">
        <v>8330</v>
      </c>
      <c r="C539" s="58" t="n">
        <v>42</v>
      </c>
      <c r="D539" s="90" t="n">
        <f aca="false">SRC_Cap!$O42</f>
        <v>0</v>
      </c>
      <c r="E539" s="90" t="n">
        <f aca="false">SRC_Cap!$K42</f>
        <v>0</v>
      </c>
      <c r="F539" s="90" t="n">
        <f aca="false">SRC_Cap!$S42</f>
        <v>0</v>
      </c>
    </row>
    <row r="540" customFormat="false" ht="15" hidden="false" customHeight="false" outlineLevel="0" collapsed="false">
      <c r="A540" s="90" t="str">
        <f aca="false">SRC_Cap!$A43&amp;""</f>
        <v/>
      </c>
      <c r="B540" s="59" t="s">
        <v>8330</v>
      </c>
      <c r="C540" s="58" t="n">
        <v>43</v>
      </c>
      <c r="D540" s="90" t="n">
        <f aca="false">SRC_Cap!$O43</f>
        <v>0</v>
      </c>
      <c r="E540" s="90" t="n">
        <f aca="false">SRC_Cap!$K43</f>
        <v>0</v>
      </c>
      <c r="F540" s="90" t="n">
        <f aca="false">SRC_Cap!$S43</f>
        <v>0</v>
      </c>
    </row>
    <row r="541" customFormat="false" ht="15" hidden="false" customHeight="false" outlineLevel="0" collapsed="false">
      <c r="A541" s="90" t="str">
        <f aca="false">SRC_Cap!$A44&amp;""</f>
        <v/>
      </c>
      <c r="B541" s="59" t="s">
        <v>8330</v>
      </c>
      <c r="C541" s="58" t="n">
        <v>44</v>
      </c>
      <c r="D541" s="90" t="n">
        <f aca="false">SRC_Cap!$O44</f>
        <v>0</v>
      </c>
      <c r="E541" s="90" t="n">
        <f aca="false">SRC_Cap!$K44</f>
        <v>0</v>
      </c>
      <c r="F541" s="90" t="n">
        <f aca="false">SRC_Cap!$S44</f>
        <v>0</v>
      </c>
    </row>
    <row r="542" customFormat="false" ht="15" hidden="false" customHeight="false" outlineLevel="0" collapsed="false">
      <c r="A542" s="90" t="str">
        <f aca="false">SRC_Cap!$A45&amp;""</f>
        <v/>
      </c>
      <c r="B542" s="59" t="s">
        <v>8330</v>
      </c>
      <c r="C542" s="58" t="n">
        <v>45</v>
      </c>
      <c r="D542" s="90" t="n">
        <f aca="false">SRC_Cap!$O45</f>
        <v>0</v>
      </c>
      <c r="E542" s="90" t="n">
        <f aca="false">SRC_Cap!$K45</f>
        <v>0</v>
      </c>
      <c r="F542" s="90" t="n">
        <f aca="false">SRC_Cap!$S45</f>
        <v>0</v>
      </c>
    </row>
    <row r="543" customFormat="false" ht="15" hidden="false" customHeight="false" outlineLevel="0" collapsed="false">
      <c r="A543" s="90" t="str">
        <f aca="false">SRC_Cap!$A46&amp;""</f>
        <v/>
      </c>
      <c r="B543" s="59" t="s">
        <v>8330</v>
      </c>
      <c r="C543" s="58" t="n">
        <v>46</v>
      </c>
      <c r="D543" s="90" t="n">
        <f aca="false">SRC_Cap!$O46</f>
        <v>0</v>
      </c>
      <c r="E543" s="90" t="n">
        <f aca="false">SRC_Cap!$K46</f>
        <v>0</v>
      </c>
      <c r="F543" s="90" t="n">
        <f aca="false">SRC_Cap!$S46</f>
        <v>0</v>
      </c>
    </row>
    <row r="544" customFormat="false" ht="15" hidden="false" customHeight="false" outlineLevel="0" collapsed="false">
      <c r="A544" s="90" t="str">
        <f aca="false">SRC_Cap!$A47&amp;""</f>
        <v/>
      </c>
      <c r="B544" s="59" t="s">
        <v>8330</v>
      </c>
      <c r="C544" s="58" t="n">
        <v>47</v>
      </c>
      <c r="D544" s="90" t="n">
        <f aca="false">SRC_Cap!$O47</f>
        <v>0</v>
      </c>
      <c r="E544" s="90" t="n">
        <f aca="false">SRC_Cap!$K47</f>
        <v>0</v>
      </c>
      <c r="F544" s="90" t="n">
        <f aca="false">SRC_Cap!$S47</f>
        <v>0</v>
      </c>
    </row>
    <row r="545" customFormat="false" ht="15" hidden="false" customHeight="false" outlineLevel="0" collapsed="false">
      <c r="A545" s="90" t="str">
        <f aca="false">SRC_Cap!$A48&amp;""</f>
        <v/>
      </c>
      <c r="B545" s="59" t="s">
        <v>8330</v>
      </c>
      <c r="C545" s="58" t="n">
        <v>48</v>
      </c>
      <c r="D545" s="90" t="n">
        <f aca="false">SRC_Cap!$O48</f>
        <v>0</v>
      </c>
      <c r="E545" s="90" t="n">
        <f aca="false">SRC_Cap!$K48</f>
        <v>0</v>
      </c>
      <c r="F545" s="90" t="n">
        <f aca="false">SRC_Cap!$S48</f>
        <v>0</v>
      </c>
    </row>
    <row r="546" customFormat="false" ht="15" hidden="false" customHeight="false" outlineLevel="0" collapsed="false">
      <c r="A546" s="90" t="str">
        <f aca="false">SRC_Cap!$A49&amp;""</f>
        <v/>
      </c>
      <c r="B546" s="59" t="s">
        <v>8330</v>
      </c>
      <c r="C546" s="58" t="n">
        <v>49</v>
      </c>
      <c r="D546" s="90" t="n">
        <f aca="false">SRC_Cap!$O49</f>
        <v>0</v>
      </c>
      <c r="E546" s="90" t="n">
        <f aca="false">SRC_Cap!$K49</f>
        <v>0</v>
      </c>
      <c r="F546" s="90" t="n">
        <f aca="false">SRC_Cap!$S49</f>
        <v>0</v>
      </c>
    </row>
    <row r="547" customFormat="false" ht="15" hidden="false" customHeight="false" outlineLevel="0" collapsed="false">
      <c r="A547" s="90" t="str">
        <f aca="false">SRC_Cap!$A50&amp;""</f>
        <v/>
      </c>
      <c r="B547" s="59" t="s">
        <v>8330</v>
      </c>
      <c r="C547" s="58" t="n">
        <v>50</v>
      </c>
      <c r="D547" s="90" t="n">
        <f aca="false">SRC_Cap!$O50</f>
        <v>0</v>
      </c>
      <c r="E547" s="90" t="n">
        <f aca="false">SRC_Cap!$K50</f>
        <v>0</v>
      </c>
      <c r="F547" s="90" t="n">
        <f aca="false">SRC_Cap!$S50</f>
        <v>0</v>
      </c>
    </row>
    <row r="548" customFormat="false" ht="15" hidden="false" customHeight="false" outlineLevel="0" collapsed="false">
      <c r="A548" s="90" t="str">
        <f aca="false">SRC_Cap!$A51&amp;""</f>
        <v/>
      </c>
      <c r="B548" s="59" t="s">
        <v>8330</v>
      </c>
      <c r="C548" s="58" t="n">
        <v>51</v>
      </c>
      <c r="D548" s="90" t="n">
        <f aca="false">SRC_Cap!$O51</f>
        <v>0</v>
      </c>
      <c r="E548" s="90" t="n">
        <f aca="false">SRC_Cap!$K51</f>
        <v>0</v>
      </c>
      <c r="F548" s="90" t="n">
        <f aca="false">SRC_Cap!$S51</f>
        <v>0</v>
      </c>
    </row>
    <row r="549" customFormat="false" ht="15" hidden="false" customHeight="false" outlineLevel="0" collapsed="false">
      <c r="A549" s="90" t="str">
        <f aca="false">SRC_Cap!$A52&amp;""</f>
        <v/>
      </c>
      <c r="B549" s="59" t="s">
        <v>8330</v>
      </c>
      <c r="C549" s="58" t="n">
        <v>52</v>
      </c>
      <c r="D549" s="90" t="n">
        <f aca="false">SRC_Cap!$O52</f>
        <v>0</v>
      </c>
      <c r="E549" s="90" t="n">
        <f aca="false">SRC_Cap!$K52</f>
        <v>0</v>
      </c>
      <c r="F549" s="90" t="n">
        <f aca="false">SRC_Cap!$S52</f>
        <v>0</v>
      </c>
    </row>
    <row r="550" customFormat="false" ht="15" hidden="false" customHeight="false" outlineLevel="0" collapsed="false">
      <c r="A550" s="90" t="str">
        <f aca="false">SRC_Cap!$A53&amp;""</f>
        <v/>
      </c>
      <c r="B550" s="59" t="s">
        <v>8330</v>
      </c>
      <c r="C550" s="58" t="n">
        <v>53</v>
      </c>
      <c r="D550" s="90" t="n">
        <f aca="false">SRC_Cap!$O53</f>
        <v>0</v>
      </c>
      <c r="E550" s="90" t="n">
        <f aca="false">SRC_Cap!$K53</f>
        <v>0</v>
      </c>
      <c r="F550" s="90" t="n">
        <f aca="false">SRC_Cap!$S53</f>
        <v>0</v>
      </c>
    </row>
    <row r="551" customFormat="false" ht="15" hidden="false" customHeight="false" outlineLevel="0" collapsed="false">
      <c r="A551" s="90" t="str">
        <f aca="false">SRC_Cap!$A54&amp;""</f>
        <v/>
      </c>
      <c r="B551" s="59" t="s">
        <v>8330</v>
      </c>
      <c r="C551" s="58" t="n">
        <v>54</v>
      </c>
      <c r="D551" s="90" t="n">
        <f aca="false">SRC_Cap!$O54</f>
        <v>0</v>
      </c>
      <c r="E551" s="90" t="n">
        <f aca="false">SRC_Cap!$K54</f>
        <v>0</v>
      </c>
      <c r="F551" s="90" t="n">
        <f aca="false">SRC_Cap!$S54</f>
        <v>0</v>
      </c>
    </row>
    <row r="552" customFormat="false" ht="15" hidden="false" customHeight="false" outlineLevel="0" collapsed="false">
      <c r="A552" s="90" t="str">
        <f aca="false">SRC_Cap!$A55&amp;""</f>
        <v/>
      </c>
      <c r="B552" s="59" t="s">
        <v>8330</v>
      </c>
      <c r="C552" s="58" t="n">
        <v>55</v>
      </c>
      <c r="D552" s="90" t="n">
        <f aca="false">SRC_Cap!$O55</f>
        <v>0</v>
      </c>
      <c r="E552" s="90" t="n">
        <f aca="false">SRC_Cap!$K55</f>
        <v>0</v>
      </c>
      <c r="F552" s="90" t="n">
        <f aca="false">SRC_Cap!$S55</f>
        <v>0</v>
      </c>
    </row>
    <row r="553" customFormat="false" ht="15" hidden="false" customHeight="false" outlineLevel="0" collapsed="false">
      <c r="A553" s="90" t="str">
        <f aca="false">SRC_Cap!$A56&amp;""</f>
        <v/>
      </c>
      <c r="B553" s="59" t="s">
        <v>8330</v>
      </c>
      <c r="C553" s="58" t="n">
        <v>56</v>
      </c>
      <c r="D553" s="90" t="n">
        <f aca="false">SRC_Cap!$O56</f>
        <v>0</v>
      </c>
      <c r="E553" s="90" t="n">
        <f aca="false">SRC_Cap!$K56</f>
        <v>0</v>
      </c>
      <c r="F553" s="90" t="n">
        <f aca="false">SRC_Cap!$S56</f>
        <v>0</v>
      </c>
    </row>
    <row r="554" customFormat="false" ht="15" hidden="false" customHeight="false" outlineLevel="0" collapsed="false">
      <c r="A554" s="90" t="str">
        <f aca="false">SRC_Cap!$A57&amp;""</f>
        <v/>
      </c>
      <c r="B554" s="59" t="s">
        <v>8330</v>
      </c>
      <c r="C554" s="58" t="n">
        <v>57</v>
      </c>
      <c r="D554" s="90" t="n">
        <f aca="false">SRC_Cap!$O57</f>
        <v>0</v>
      </c>
      <c r="E554" s="90" t="n">
        <f aca="false">SRC_Cap!$K57</f>
        <v>0</v>
      </c>
      <c r="F554" s="90" t="n">
        <f aca="false">SRC_Cap!$S57</f>
        <v>0</v>
      </c>
    </row>
    <row r="555" customFormat="false" ht="15" hidden="false" customHeight="false" outlineLevel="0" collapsed="false">
      <c r="A555" s="90" t="str">
        <f aca="false">SRC_Cap!$A58&amp;""</f>
        <v/>
      </c>
      <c r="B555" s="59" t="s">
        <v>8330</v>
      </c>
      <c r="C555" s="58" t="n">
        <v>58</v>
      </c>
      <c r="D555" s="90" t="n">
        <f aca="false">SRC_Cap!$O58</f>
        <v>0</v>
      </c>
      <c r="E555" s="90" t="n">
        <f aca="false">SRC_Cap!$K58</f>
        <v>0</v>
      </c>
      <c r="F555" s="90" t="n">
        <f aca="false">SRC_Cap!$S58</f>
        <v>0</v>
      </c>
    </row>
    <row r="556" customFormat="false" ht="15" hidden="false" customHeight="false" outlineLevel="0" collapsed="false">
      <c r="A556" s="90" t="str">
        <f aca="false">SRC_Cap!$A59&amp;""</f>
        <v/>
      </c>
      <c r="B556" s="59" t="s">
        <v>8330</v>
      </c>
      <c r="C556" s="58" t="n">
        <v>59</v>
      </c>
      <c r="D556" s="90" t="n">
        <f aca="false">SRC_Cap!$O59</f>
        <v>0</v>
      </c>
      <c r="E556" s="90" t="n">
        <f aca="false">SRC_Cap!$K59</f>
        <v>0</v>
      </c>
      <c r="F556" s="90" t="n">
        <f aca="false">SRC_Cap!$S59</f>
        <v>0</v>
      </c>
    </row>
    <row r="557" customFormat="false" ht="15" hidden="false" customHeight="false" outlineLevel="0" collapsed="false">
      <c r="A557" s="90" t="str">
        <f aca="false">SRC_Cap!$A60&amp;""</f>
        <v/>
      </c>
      <c r="B557" s="59" t="s">
        <v>8330</v>
      </c>
      <c r="C557" s="58" t="n">
        <v>60</v>
      </c>
      <c r="D557" s="90" t="n">
        <f aca="false">SRC_Cap!$O60</f>
        <v>0</v>
      </c>
      <c r="E557" s="90" t="n">
        <f aca="false">SRC_Cap!$K60</f>
        <v>0</v>
      </c>
      <c r="F557" s="90" t="n">
        <f aca="false">SRC_Cap!$S60</f>
        <v>0</v>
      </c>
    </row>
    <row r="558" customFormat="false" ht="15" hidden="false" customHeight="false" outlineLevel="0" collapsed="false">
      <c r="A558" s="90" t="str">
        <f aca="false">SRC_Cap!$A61&amp;""</f>
        <v/>
      </c>
      <c r="B558" s="59" t="s">
        <v>8330</v>
      </c>
      <c r="C558" s="58" t="n">
        <v>61</v>
      </c>
      <c r="D558" s="90" t="n">
        <f aca="false">SRC_Cap!$O61</f>
        <v>0</v>
      </c>
      <c r="E558" s="90" t="n">
        <f aca="false">SRC_Cap!$K61</f>
        <v>0</v>
      </c>
      <c r="F558" s="90" t="n">
        <f aca="false">SRC_Cap!$S61</f>
        <v>0</v>
      </c>
    </row>
    <row r="559" customFormat="false" ht="15" hidden="false" customHeight="false" outlineLevel="0" collapsed="false">
      <c r="A559" s="90" t="str">
        <f aca="false">SRC_Cap!$A62&amp;""</f>
        <v/>
      </c>
      <c r="B559" s="59" t="s">
        <v>8330</v>
      </c>
      <c r="C559" s="58" t="n">
        <v>62</v>
      </c>
      <c r="D559" s="90" t="n">
        <f aca="false">SRC_Cap!$O62</f>
        <v>0</v>
      </c>
      <c r="E559" s="90" t="n">
        <f aca="false">SRC_Cap!$K62</f>
        <v>0</v>
      </c>
      <c r="F559" s="90" t="n">
        <f aca="false">SRC_Cap!$S62</f>
        <v>0</v>
      </c>
    </row>
    <row r="560" customFormat="false" ht="15" hidden="false" customHeight="false" outlineLevel="0" collapsed="false">
      <c r="A560" s="90" t="str">
        <f aca="false">SRC_Cap!$A63&amp;""</f>
        <v/>
      </c>
      <c r="B560" s="59" t="s">
        <v>8330</v>
      </c>
      <c r="C560" s="58" t="n">
        <v>63</v>
      </c>
      <c r="D560" s="90" t="n">
        <f aca="false">SRC_Cap!$O63</f>
        <v>0</v>
      </c>
      <c r="E560" s="90" t="n">
        <f aca="false">SRC_Cap!$K63</f>
        <v>0</v>
      </c>
      <c r="F560" s="90" t="n">
        <f aca="false">SRC_Cap!$S63</f>
        <v>0</v>
      </c>
    </row>
    <row r="561" customFormat="false" ht="15" hidden="false" customHeight="false" outlineLevel="0" collapsed="false">
      <c r="A561" s="90" t="str">
        <f aca="false">SRC_Cap!$A64&amp;""</f>
        <v/>
      </c>
      <c r="B561" s="59" t="s">
        <v>8330</v>
      </c>
      <c r="C561" s="58" t="n">
        <v>64</v>
      </c>
      <c r="D561" s="90" t="n">
        <f aca="false">SRC_Cap!$O64</f>
        <v>0</v>
      </c>
      <c r="E561" s="90" t="n">
        <f aca="false">SRC_Cap!$K64</f>
        <v>0</v>
      </c>
      <c r="F561" s="90" t="n">
        <f aca="false">SRC_Cap!$S64</f>
        <v>0</v>
      </c>
    </row>
    <row r="562" customFormat="false" ht="15" hidden="false" customHeight="false" outlineLevel="0" collapsed="false">
      <c r="A562" s="90" t="str">
        <f aca="false">SRC_Cap!$A65&amp;""</f>
        <v/>
      </c>
      <c r="B562" s="59" t="s">
        <v>8330</v>
      </c>
      <c r="C562" s="58" t="n">
        <v>65</v>
      </c>
      <c r="D562" s="90" t="n">
        <f aca="false">SRC_Cap!$O65</f>
        <v>0</v>
      </c>
      <c r="E562" s="90" t="n">
        <f aca="false">SRC_Cap!$K65</f>
        <v>0</v>
      </c>
      <c r="F562" s="90" t="n">
        <f aca="false">SRC_Cap!$S65</f>
        <v>0</v>
      </c>
    </row>
    <row r="563" customFormat="false" ht="15" hidden="false" customHeight="false" outlineLevel="0" collapsed="false">
      <c r="A563" s="90" t="str">
        <f aca="false">SRC_Cap!$A66&amp;""</f>
        <v/>
      </c>
      <c r="B563" s="59" t="s">
        <v>8330</v>
      </c>
      <c r="C563" s="58" t="n">
        <v>66</v>
      </c>
      <c r="D563" s="90" t="n">
        <f aca="false">SRC_Cap!$O66</f>
        <v>0</v>
      </c>
      <c r="E563" s="90" t="n">
        <f aca="false">SRC_Cap!$K66</f>
        <v>0</v>
      </c>
      <c r="F563" s="90" t="n">
        <f aca="false">SRC_Cap!$S66</f>
        <v>0</v>
      </c>
    </row>
    <row r="564" customFormat="false" ht="15" hidden="false" customHeight="false" outlineLevel="0" collapsed="false">
      <c r="A564" s="90" t="str">
        <f aca="false">SRC_Cap!$A67&amp;""</f>
        <v/>
      </c>
      <c r="B564" s="59" t="s">
        <v>8330</v>
      </c>
      <c r="C564" s="58" t="n">
        <v>67</v>
      </c>
      <c r="D564" s="90" t="n">
        <f aca="false">SRC_Cap!$O67</f>
        <v>0</v>
      </c>
      <c r="E564" s="90" t="n">
        <f aca="false">SRC_Cap!$K67</f>
        <v>0</v>
      </c>
      <c r="F564" s="90" t="n">
        <f aca="false">SRC_Cap!$S67</f>
        <v>0</v>
      </c>
    </row>
    <row r="565" customFormat="false" ht="15" hidden="false" customHeight="false" outlineLevel="0" collapsed="false">
      <c r="A565" s="90" t="str">
        <f aca="false">SRC_Cap!$A68&amp;""</f>
        <v/>
      </c>
      <c r="B565" s="59" t="s">
        <v>8330</v>
      </c>
      <c r="C565" s="58" t="n">
        <v>68</v>
      </c>
      <c r="D565" s="90" t="n">
        <f aca="false">SRC_Cap!$O68</f>
        <v>0</v>
      </c>
      <c r="E565" s="90" t="n">
        <f aca="false">SRC_Cap!$K68</f>
        <v>0</v>
      </c>
      <c r="F565" s="90" t="n">
        <f aca="false">SRC_Cap!$S68</f>
        <v>0</v>
      </c>
    </row>
    <row r="566" customFormat="false" ht="15" hidden="false" customHeight="false" outlineLevel="0" collapsed="false">
      <c r="A566" s="90" t="str">
        <f aca="false">SRC_Cap!$A69&amp;""</f>
        <v/>
      </c>
      <c r="B566" s="59" t="s">
        <v>8330</v>
      </c>
      <c r="C566" s="58" t="n">
        <v>69</v>
      </c>
      <c r="D566" s="90" t="n">
        <f aca="false">SRC_Cap!$O69</f>
        <v>0</v>
      </c>
      <c r="E566" s="90" t="n">
        <f aca="false">SRC_Cap!$K69</f>
        <v>0</v>
      </c>
      <c r="F566" s="90" t="n">
        <f aca="false">SRC_Cap!$S69</f>
        <v>0</v>
      </c>
    </row>
    <row r="567" customFormat="false" ht="15" hidden="false" customHeight="false" outlineLevel="0" collapsed="false">
      <c r="A567" s="90" t="str">
        <f aca="false">SRC_Cap!$A70&amp;""</f>
        <v/>
      </c>
      <c r="B567" s="59" t="s">
        <v>8330</v>
      </c>
      <c r="C567" s="58" t="n">
        <v>70</v>
      </c>
      <c r="D567" s="90" t="n">
        <f aca="false">SRC_Cap!$O70</f>
        <v>0</v>
      </c>
      <c r="E567" s="90" t="n">
        <f aca="false">SRC_Cap!$K70</f>
        <v>0</v>
      </c>
      <c r="F567" s="90" t="n">
        <f aca="false">SRC_Cap!$S70</f>
        <v>0</v>
      </c>
    </row>
    <row r="568" customFormat="false" ht="15" hidden="false" customHeight="false" outlineLevel="0" collapsed="false">
      <c r="A568" s="90" t="str">
        <f aca="false">SRC_Cap!$A71&amp;""</f>
        <v/>
      </c>
      <c r="B568" s="59" t="s">
        <v>8330</v>
      </c>
      <c r="C568" s="58" t="n">
        <v>71</v>
      </c>
      <c r="D568" s="90" t="n">
        <f aca="false">SRC_Cap!$O71</f>
        <v>0</v>
      </c>
      <c r="E568" s="90" t="n">
        <f aca="false">SRC_Cap!$K71</f>
        <v>0</v>
      </c>
      <c r="F568" s="90" t="n">
        <f aca="false">SRC_Cap!$S71</f>
        <v>0</v>
      </c>
    </row>
    <row r="569" customFormat="false" ht="15" hidden="false" customHeight="false" outlineLevel="0" collapsed="false">
      <c r="A569" s="90" t="str">
        <f aca="false">SRC_Cap!$A72&amp;""</f>
        <v/>
      </c>
      <c r="B569" s="59" t="s">
        <v>8330</v>
      </c>
      <c r="C569" s="58" t="n">
        <v>72</v>
      </c>
      <c r="D569" s="90" t="n">
        <f aca="false">SRC_Cap!$O72</f>
        <v>0</v>
      </c>
      <c r="E569" s="90" t="n">
        <f aca="false">SRC_Cap!$K72</f>
        <v>0</v>
      </c>
      <c r="F569" s="90" t="n">
        <f aca="false">SRC_Cap!$S72</f>
        <v>0</v>
      </c>
    </row>
    <row r="570" customFormat="false" ht="15" hidden="false" customHeight="false" outlineLevel="0" collapsed="false">
      <c r="A570" s="90" t="str">
        <f aca="false">SRC_Cap!$A73&amp;""</f>
        <v/>
      </c>
      <c r="B570" s="59" t="s">
        <v>8330</v>
      </c>
      <c r="C570" s="58" t="n">
        <v>73</v>
      </c>
      <c r="D570" s="90" t="n">
        <f aca="false">SRC_Cap!$O73</f>
        <v>0</v>
      </c>
      <c r="E570" s="90" t="n">
        <f aca="false">SRC_Cap!$K73</f>
        <v>0</v>
      </c>
      <c r="F570" s="90" t="n">
        <f aca="false">SRC_Cap!$S73</f>
        <v>0</v>
      </c>
    </row>
    <row r="571" customFormat="false" ht="15" hidden="false" customHeight="false" outlineLevel="0" collapsed="false">
      <c r="A571" s="90" t="str">
        <f aca="false">SRC_Cap!$A74&amp;""</f>
        <v/>
      </c>
      <c r="B571" s="59" t="s">
        <v>8330</v>
      </c>
      <c r="C571" s="58" t="n">
        <v>74</v>
      </c>
      <c r="D571" s="90" t="n">
        <f aca="false">SRC_Cap!$O74</f>
        <v>0</v>
      </c>
      <c r="E571" s="90" t="n">
        <f aca="false">SRC_Cap!$K74</f>
        <v>0</v>
      </c>
      <c r="F571" s="90" t="n">
        <f aca="false">SRC_Cap!$S74</f>
        <v>0</v>
      </c>
    </row>
    <row r="572" customFormat="false" ht="15" hidden="false" customHeight="false" outlineLevel="0" collapsed="false">
      <c r="A572" s="90" t="str">
        <f aca="false">SRC_Cap!$A75&amp;""</f>
        <v/>
      </c>
      <c r="B572" s="59" t="s">
        <v>8330</v>
      </c>
      <c r="C572" s="58" t="n">
        <v>75</v>
      </c>
      <c r="D572" s="90" t="n">
        <f aca="false">SRC_Cap!$O75</f>
        <v>0</v>
      </c>
      <c r="E572" s="90" t="n">
        <f aca="false">SRC_Cap!$K75</f>
        <v>0</v>
      </c>
      <c r="F572" s="90" t="n">
        <f aca="false">SRC_Cap!$S75</f>
        <v>0</v>
      </c>
    </row>
    <row r="573" customFormat="false" ht="15" hidden="false" customHeight="false" outlineLevel="0" collapsed="false">
      <c r="A573" s="90" t="str">
        <f aca="false">SRC_Harness!$A5&amp;""</f>
        <v>SRC_HAR_001</v>
      </c>
      <c r="B573" s="59" t="s">
        <v>8331</v>
      </c>
      <c r="C573" s="58" t="n">
        <v>5</v>
      </c>
      <c r="D573" s="90" t="str">
        <f aca="false">SRC_Harness!$O5</f>
        <v>Active</v>
      </c>
      <c r="E573" s="90" t="n">
        <f aca="false">SRC_Harness!$K5</f>
        <v>2</v>
      </c>
      <c r="F573" s="90" t="str">
        <f aca="false">SRC_Harness!$S5</f>
        <v>—</v>
      </c>
    </row>
    <row r="574" customFormat="false" ht="15" hidden="false" customHeight="false" outlineLevel="0" collapsed="false">
      <c r="A574" s="90" t="str">
        <f aca="false">SRC_Harness!$A6&amp;""</f>
        <v>SRC_HAR_002</v>
      </c>
      <c r="B574" s="59" t="s">
        <v>8331</v>
      </c>
      <c r="C574" s="58" t="n">
        <v>6</v>
      </c>
      <c r="D574" s="90" t="str">
        <f aca="false">SRC_Harness!$O6</f>
        <v>Active</v>
      </c>
      <c r="E574" s="90" t="n">
        <f aca="false">SRC_Harness!$K6</f>
        <v>2</v>
      </c>
      <c r="F574" s="90" t="str">
        <f aca="false">SRC_Harness!$S6</f>
        <v>—</v>
      </c>
    </row>
    <row r="575" customFormat="false" ht="15" hidden="false" customHeight="false" outlineLevel="0" collapsed="false">
      <c r="A575" s="90" t="str">
        <f aca="false">SRC_Harness!$A7&amp;""</f>
        <v>SRC_HAR_003</v>
      </c>
      <c r="B575" s="59" t="s">
        <v>8331</v>
      </c>
      <c r="C575" s="58" t="n">
        <v>7</v>
      </c>
      <c r="D575" s="90" t="str">
        <f aca="false">SRC_Harness!$O7</f>
        <v>Active</v>
      </c>
      <c r="E575" s="90" t="n">
        <f aca="false">SRC_Harness!$K7</f>
        <v>2</v>
      </c>
      <c r="F575" s="90" t="str">
        <f aca="false">SRC_Harness!$S7</f>
        <v>—</v>
      </c>
    </row>
    <row r="576" customFormat="false" ht="15" hidden="false" customHeight="false" outlineLevel="0" collapsed="false">
      <c r="A576" s="90" t="str">
        <f aca="false">SRC_Harness!$A8&amp;""</f>
        <v>SRC_HAR_004</v>
      </c>
      <c r="B576" s="59" t="s">
        <v>8331</v>
      </c>
      <c r="C576" s="58" t="n">
        <v>8</v>
      </c>
      <c r="D576" s="90" t="str">
        <f aca="false">SRC_Harness!$O8</f>
        <v>Active</v>
      </c>
      <c r="E576" s="90" t="n">
        <f aca="false">SRC_Harness!$K8</f>
        <v>2</v>
      </c>
      <c r="F576" s="90" t="str">
        <f aca="false">SRC_Harness!$S8</f>
        <v>—</v>
      </c>
    </row>
    <row r="577" customFormat="false" ht="15" hidden="false" customHeight="false" outlineLevel="0" collapsed="false">
      <c r="A577" s="90" t="str">
        <f aca="false">SRC_Harness!$A9&amp;""</f>
        <v>SRC_HAR_005</v>
      </c>
      <c r="B577" s="59" t="s">
        <v>8331</v>
      </c>
      <c r="C577" s="58" t="n">
        <v>9</v>
      </c>
      <c r="D577" s="90" t="str">
        <f aca="false">SRC_Harness!$O9</f>
        <v>Active</v>
      </c>
      <c r="E577" s="90" t="n">
        <f aca="false">SRC_Harness!$K9</f>
        <v>2</v>
      </c>
      <c r="F577" s="90" t="str">
        <f aca="false">SRC_Harness!$S9</f>
        <v>—</v>
      </c>
    </row>
    <row r="578" customFormat="false" ht="15" hidden="false" customHeight="false" outlineLevel="0" collapsed="false">
      <c r="A578" s="90" t="str">
        <f aca="false">SRC_Harness!$A10&amp;""</f>
        <v>SRC_HAR_006</v>
      </c>
      <c r="B578" s="59" t="s">
        <v>8331</v>
      </c>
      <c r="C578" s="58" t="n">
        <v>10</v>
      </c>
      <c r="D578" s="90" t="str">
        <f aca="false">SRC_Harness!$O10</f>
        <v>Active</v>
      </c>
      <c r="E578" s="90" t="n">
        <f aca="false">SRC_Harness!$K10</f>
        <v>2</v>
      </c>
      <c r="F578" s="90" t="str">
        <f aca="false">SRC_Harness!$S10</f>
        <v>—</v>
      </c>
    </row>
    <row r="579" customFormat="false" ht="15" hidden="false" customHeight="false" outlineLevel="0" collapsed="false">
      <c r="A579" s="90" t="str">
        <f aca="false">SRC_Harness!$A11&amp;""</f>
        <v>SRC_HAR_007</v>
      </c>
      <c r="B579" s="59" t="s">
        <v>8331</v>
      </c>
      <c r="C579" s="58" t="n">
        <v>11</v>
      </c>
      <c r="D579" s="90" t="str">
        <f aca="false">SRC_Harness!$O11</f>
        <v>Active</v>
      </c>
      <c r="E579" s="90" t="n">
        <f aca="false">SRC_Harness!$K11</f>
        <v>2</v>
      </c>
      <c r="F579" s="90" t="str">
        <f aca="false">SRC_Harness!$S11</f>
        <v>—</v>
      </c>
    </row>
    <row r="580" customFormat="false" ht="15" hidden="false" customHeight="false" outlineLevel="0" collapsed="false">
      <c r="A580" s="90" t="str">
        <f aca="false">SRC_Harness!$A12&amp;""</f>
        <v>SRC_HAR_008</v>
      </c>
      <c r="B580" s="59" t="s">
        <v>8331</v>
      </c>
      <c r="C580" s="58" t="n">
        <v>12</v>
      </c>
      <c r="D580" s="90" t="str">
        <f aca="false">SRC_Harness!$O12</f>
        <v>Active</v>
      </c>
      <c r="E580" s="90" t="n">
        <f aca="false">SRC_Harness!$K12</f>
        <v>2</v>
      </c>
      <c r="F580" s="90" t="str">
        <f aca="false">SRC_Harness!$S12</f>
        <v>—</v>
      </c>
    </row>
    <row r="581" customFormat="false" ht="15" hidden="false" customHeight="false" outlineLevel="0" collapsed="false">
      <c r="A581" s="90" t="str">
        <f aca="false">SRC_Harness!$A13&amp;""</f>
        <v>SRC_HAR_009</v>
      </c>
      <c r="B581" s="59" t="s">
        <v>8331</v>
      </c>
      <c r="C581" s="58" t="n">
        <v>13</v>
      </c>
      <c r="D581" s="90" t="str">
        <f aca="false">SRC_Harness!$O13</f>
        <v>Alt</v>
      </c>
      <c r="E581" s="90" t="n">
        <f aca="false">SRC_Harness!$K13</f>
        <v>2</v>
      </c>
      <c r="F581" s="90" t="str">
        <f aca="false">SRC_Harness!$S13</f>
        <v>—</v>
      </c>
    </row>
    <row r="582" customFormat="false" ht="15" hidden="false" customHeight="false" outlineLevel="0" collapsed="false">
      <c r="A582" s="90" t="str">
        <f aca="false">SRC_Harness!$A14&amp;""</f>
        <v>SRC_HAR_010</v>
      </c>
      <c r="B582" s="59" t="s">
        <v>8331</v>
      </c>
      <c r="C582" s="58" t="n">
        <v>14</v>
      </c>
      <c r="D582" s="90" t="str">
        <f aca="false">SRC_Harness!$O14</f>
        <v>Active</v>
      </c>
      <c r="E582" s="90" t="n">
        <f aca="false">SRC_Harness!$K14</f>
        <v>2</v>
      </c>
      <c r="F582" s="90" t="str">
        <f aca="false">SRC_Harness!$S14</f>
        <v>—</v>
      </c>
    </row>
    <row r="583" customFormat="false" ht="15" hidden="false" customHeight="false" outlineLevel="0" collapsed="false">
      <c r="A583" s="90" t="str">
        <f aca="false">SRC_Harness!$A15&amp;""</f>
        <v>SRC_HAR_011</v>
      </c>
      <c r="B583" s="59" t="s">
        <v>8331</v>
      </c>
      <c r="C583" s="58" t="n">
        <v>15</v>
      </c>
      <c r="D583" s="90" t="str">
        <f aca="false">SRC_Harness!$O15</f>
        <v>Active</v>
      </c>
      <c r="E583" s="90" t="n">
        <f aca="false">SRC_Harness!$K15</f>
        <v>2</v>
      </c>
      <c r="F583" s="90" t="str">
        <f aca="false">SRC_Harness!$S15</f>
        <v>—</v>
      </c>
    </row>
    <row r="584" customFormat="false" ht="15" hidden="false" customHeight="false" outlineLevel="0" collapsed="false">
      <c r="A584" s="90" t="str">
        <f aca="false">SRC_Harness!$A16&amp;""</f>
        <v>SRC_HAR_012</v>
      </c>
      <c r="B584" s="59" t="s">
        <v>8331</v>
      </c>
      <c r="C584" s="58" t="n">
        <v>16</v>
      </c>
      <c r="D584" s="90" t="str">
        <f aca="false">SRC_Harness!$O16</f>
        <v>Active</v>
      </c>
      <c r="E584" s="90" t="n">
        <f aca="false">SRC_Harness!$K16</f>
        <v>2</v>
      </c>
      <c r="F584" s="90" t="str">
        <f aca="false">SRC_Harness!$S16</f>
        <v>—</v>
      </c>
    </row>
    <row r="585" customFormat="false" ht="15" hidden="false" customHeight="false" outlineLevel="0" collapsed="false">
      <c r="A585" s="90" t="str">
        <f aca="false">SRC_Harness!$A17&amp;""</f>
        <v>SRC_HAR_013</v>
      </c>
      <c r="B585" s="59" t="s">
        <v>8331</v>
      </c>
      <c r="C585" s="58" t="n">
        <v>17</v>
      </c>
      <c r="D585" s="90" t="str">
        <f aca="false">SRC_Harness!$O17</f>
        <v>Active</v>
      </c>
      <c r="E585" s="90" t="n">
        <f aca="false">SRC_Harness!$K17</f>
        <v>2</v>
      </c>
      <c r="F585" s="90" t="str">
        <f aca="false">SRC_Harness!$S17</f>
        <v>—</v>
      </c>
    </row>
    <row r="586" customFormat="false" ht="15" hidden="false" customHeight="false" outlineLevel="0" collapsed="false">
      <c r="A586" s="90" t="str">
        <f aca="false">SRC_Harness!$A18&amp;""</f>
        <v>SRC_HAR_014</v>
      </c>
      <c r="B586" s="59" t="s">
        <v>8331</v>
      </c>
      <c r="C586" s="58" t="n">
        <v>18</v>
      </c>
      <c r="D586" s="90" t="str">
        <f aca="false">SRC_Harness!$O18</f>
        <v>Active</v>
      </c>
      <c r="E586" s="90" t="n">
        <f aca="false">SRC_Harness!$K18</f>
        <v>2</v>
      </c>
      <c r="F586" s="90" t="str">
        <f aca="false">SRC_Harness!$S18</f>
        <v>—</v>
      </c>
    </row>
    <row r="587" customFormat="false" ht="15" hidden="false" customHeight="false" outlineLevel="0" collapsed="false">
      <c r="A587" s="90" t="str">
        <f aca="false">SRC_Harness!$A19&amp;""</f>
        <v>SRC_HAR_015</v>
      </c>
      <c r="B587" s="59" t="s">
        <v>8331</v>
      </c>
      <c r="C587" s="58" t="n">
        <v>19</v>
      </c>
      <c r="D587" s="90" t="str">
        <f aca="false">SRC_Harness!$O19</f>
        <v>Active</v>
      </c>
      <c r="E587" s="90" t="n">
        <f aca="false">SRC_Harness!$K19</f>
        <v>2</v>
      </c>
      <c r="F587" s="90" t="str">
        <f aca="false">SRC_Harness!$S19</f>
        <v>—</v>
      </c>
    </row>
    <row r="588" customFormat="false" ht="15" hidden="false" customHeight="false" outlineLevel="0" collapsed="false">
      <c r="A588" s="90" t="str">
        <f aca="false">SRC_Harness!$A20&amp;""</f>
        <v/>
      </c>
      <c r="B588" s="59" t="s">
        <v>8331</v>
      </c>
      <c r="C588" s="58" t="n">
        <v>20</v>
      </c>
      <c r="D588" s="90" t="n">
        <f aca="false">SRC_Harness!$O20</f>
        <v>0</v>
      </c>
      <c r="E588" s="90" t="n">
        <f aca="false">SRC_Harness!$K20</f>
        <v>0</v>
      </c>
      <c r="F588" s="90" t="n">
        <f aca="false">SRC_Harness!$S20</f>
        <v>0</v>
      </c>
    </row>
    <row r="589" customFormat="false" ht="15" hidden="false" customHeight="false" outlineLevel="0" collapsed="false">
      <c r="A589" s="90" t="str">
        <f aca="false">SRC_Harness!$A21&amp;""</f>
        <v/>
      </c>
      <c r="B589" s="59" t="s">
        <v>8331</v>
      </c>
      <c r="C589" s="58" t="n">
        <v>21</v>
      </c>
      <c r="D589" s="90" t="n">
        <f aca="false">SRC_Harness!$O21</f>
        <v>0</v>
      </c>
      <c r="E589" s="90" t="n">
        <f aca="false">SRC_Harness!$K21</f>
        <v>0</v>
      </c>
      <c r="F589" s="90" t="n">
        <f aca="false">SRC_Harness!$S21</f>
        <v>0</v>
      </c>
    </row>
    <row r="590" customFormat="false" ht="15" hidden="false" customHeight="false" outlineLevel="0" collapsed="false">
      <c r="A590" s="90" t="str">
        <f aca="false">SRC_Harness!$A22&amp;""</f>
        <v/>
      </c>
      <c r="B590" s="59" t="s">
        <v>8331</v>
      </c>
      <c r="C590" s="58" t="n">
        <v>22</v>
      </c>
      <c r="D590" s="90" t="n">
        <f aca="false">SRC_Harness!$O22</f>
        <v>0</v>
      </c>
      <c r="E590" s="90" t="n">
        <f aca="false">SRC_Harness!$K22</f>
        <v>0</v>
      </c>
      <c r="F590" s="90" t="n">
        <f aca="false">SRC_Harness!$S22</f>
        <v>0</v>
      </c>
    </row>
    <row r="591" customFormat="false" ht="15" hidden="false" customHeight="false" outlineLevel="0" collapsed="false">
      <c r="A591" s="90" t="str">
        <f aca="false">SRC_Harness!$A23&amp;""</f>
        <v/>
      </c>
      <c r="B591" s="59" t="s">
        <v>8331</v>
      </c>
      <c r="C591" s="58" t="n">
        <v>23</v>
      </c>
      <c r="D591" s="90" t="n">
        <f aca="false">SRC_Harness!$O23</f>
        <v>0</v>
      </c>
      <c r="E591" s="90" t="n">
        <f aca="false">SRC_Harness!$K23</f>
        <v>0</v>
      </c>
      <c r="F591" s="90" t="n">
        <f aca="false">SRC_Harness!$S23</f>
        <v>0</v>
      </c>
    </row>
    <row r="592" customFormat="false" ht="15" hidden="false" customHeight="false" outlineLevel="0" collapsed="false">
      <c r="A592" s="90" t="str">
        <f aca="false">SRC_Harness!$A24&amp;""</f>
        <v/>
      </c>
      <c r="B592" s="59" t="s">
        <v>8331</v>
      </c>
      <c r="C592" s="58" t="n">
        <v>24</v>
      </c>
      <c r="D592" s="90" t="n">
        <f aca="false">SRC_Harness!$O24</f>
        <v>0</v>
      </c>
      <c r="E592" s="90" t="n">
        <f aca="false">SRC_Harness!$K24</f>
        <v>0</v>
      </c>
      <c r="F592" s="90" t="n">
        <f aca="false">SRC_Harness!$S24</f>
        <v>0</v>
      </c>
    </row>
    <row r="593" customFormat="false" ht="15" hidden="false" customHeight="false" outlineLevel="0" collapsed="false">
      <c r="A593" s="90" t="str">
        <f aca="false">SRC_Harness!$A25&amp;""</f>
        <v/>
      </c>
      <c r="B593" s="59" t="s">
        <v>8331</v>
      </c>
      <c r="C593" s="58" t="n">
        <v>25</v>
      </c>
      <c r="D593" s="90" t="n">
        <f aca="false">SRC_Harness!$O25</f>
        <v>0</v>
      </c>
      <c r="E593" s="90" t="n">
        <f aca="false">SRC_Harness!$K25</f>
        <v>0</v>
      </c>
      <c r="F593" s="90" t="n">
        <f aca="false">SRC_Harness!$S25</f>
        <v>0</v>
      </c>
    </row>
    <row r="594" customFormat="false" ht="15" hidden="false" customHeight="false" outlineLevel="0" collapsed="false">
      <c r="A594" s="90" t="str">
        <f aca="false">SRC_Harness!$A26&amp;""</f>
        <v/>
      </c>
      <c r="B594" s="59" t="s">
        <v>8331</v>
      </c>
      <c r="C594" s="58" t="n">
        <v>26</v>
      </c>
      <c r="D594" s="90" t="n">
        <f aca="false">SRC_Harness!$O26</f>
        <v>0</v>
      </c>
      <c r="E594" s="90" t="n">
        <f aca="false">SRC_Harness!$K26</f>
        <v>0</v>
      </c>
      <c r="F594" s="90" t="n">
        <f aca="false">SRC_Harness!$S26</f>
        <v>0</v>
      </c>
    </row>
    <row r="595" customFormat="false" ht="15" hidden="false" customHeight="false" outlineLevel="0" collapsed="false">
      <c r="A595" s="90" t="str">
        <f aca="false">SRC_Harness!$A27&amp;""</f>
        <v/>
      </c>
      <c r="B595" s="59" t="s">
        <v>8331</v>
      </c>
      <c r="C595" s="58" t="n">
        <v>27</v>
      </c>
      <c r="D595" s="90" t="n">
        <f aca="false">SRC_Harness!$O27</f>
        <v>0</v>
      </c>
      <c r="E595" s="90" t="n">
        <f aca="false">SRC_Harness!$K27</f>
        <v>0</v>
      </c>
      <c r="F595" s="90" t="n">
        <f aca="false">SRC_Harness!$S27</f>
        <v>0</v>
      </c>
    </row>
    <row r="596" customFormat="false" ht="15" hidden="false" customHeight="false" outlineLevel="0" collapsed="false">
      <c r="A596" s="90" t="str">
        <f aca="false">SRC_Harness!$A28&amp;""</f>
        <v/>
      </c>
      <c r="B596" s="59" t="s">
        <v>8331</v>
      </c>
      <c r="C596" s="58" t="n">
        <v>28</v>
      </c>
      <c r="D596" s="90" t="n">
        <f aca="false">SRC_Harness!$O28</f>
        <v>0</v>
      </c>
      <c r="E596" s="90" t="n">
        <f aca="false">SRC_Harness!$K28</f>
        <v>0</v>
      </c>
      <c r="F596" s="90" t="n">
        <f aca="false">SRC_Harness!$S28</f>
        <v>0</v>
      </c>
    </row>
    <row r="597" customFormat="false" ht="15" hidden="false" customHeight="false" outlineLevel="0" collapsed="false">
      <c r="A597" s="90" t="str">
        <f aca="false">SRC_Harness!$A29&amp;""</f>
        <v/>
      </c>
      <c r="B597" s="59" t="s">
        <v>8331</v>
      </c>
      <c r="C597" s="58" t="n">
        <v>29</v>
      </c>
      <c r="D597" s="90" t="n">
        <f aca="false">SRC_Harness!$O29</f>
        <v>0</v>
      </c>
      <c r="E597" s="90" t="n">
        <f aca="false">SRC_Harness!$K29</f>
        <v>0</v>
      </c>
      <c r="F597" s="90" t="n">
        <f aca="false">SRC_Harness!$S29</f>
        <v>0</v>
      </c>
    </row>
    <row r="598" customFormat="false" ht="15" hidden="false" customHeight="false" outlineLevel="0" collapsed="false">
      <c r="A598" s="90" t="str">
        <f aca="false">SRC_Harness!$A30&amp;""</f>
        <v/>
      </c>
      <c r="B598" s="59" t="s">
        <v>8331</v>
      </c>
      <c r="C598" s="58" t="n">
        <v>30</v>
      </c>
      <c r="D598" s="90" t="n">
        <f aca="false">SRC_Harness!$O30</f>
        <v>0</v>
      </c>
      <c r="E598" s="90" t="n">
        <f aca="false">SRC_Harness!$K30</f>
        <v>0</v>
      </c>
      <c r="F598" s="90" t="n">
        <f aca="false">SRC_Harness!$S30</f>
        <v>0</v>
      </c>
    </row>
    <row r="599" customFormat="false" ht="15" hidden="false" customHeight="false" outlineLevel="0" collapsed="false">
      <c r="A599" s="90" t="str">
        <f aca="false">SRC_Harness!$A31&amp;""</f>
        <v/>
      </c>
      <c r="B599" s="59" t="s">
        <v>8331</v>
      </c>
      <c r="C599" s="58" t="n">
        <v>31</v>
      </c>
      <c r="D599" s="90" t="n">
        <f aca="false">SRC_Harness!$O31</f>
        <v>0</v>
      </c>
      <c r="E599" s="90" t="n">
        <f aca="false">SRC_Harness!$K31</f>
        <v>0</v>
      </c>
      <c r="F599" s="90" t="n">
        <f aca="false">SRC_Harness!$S31</f>
        <v>0</v>
      </c>
    </row>
    <row r="600" customFormat="false" ht="15" hidden="false" customHeight="false" outlineLevel="0" collapsed="false">
      <c r="A600" s="90" t="str">
        <f aca="false">SRC_Harness!$A32&amp;""</f>
        <v/>
      </c>
      <c r="B600" s="59" t="s">
        <v>8331</v>
      </c>
      <c r="C600" s="58" t="n">
        <v>32</v>
      </c>
      <c r="D600" s="90" t="n">
        <f aca="false">SRC_Harness!$O32</f>
        <v>0</v>
      </c>
      <c r="E600" s="90" t="n">
        <f aca="false">SRC_Harness!$K32</f>
        <v>0</v>
      </c>
      <c r="F600" s="90" t="n">
        <f aca="false">SRC_Harness!$S32</f>
        <v>0</v>
      </c>
    </row>
    <row r="601" customFormat="false" ht="15" hidden="false" customHeight="false" outlineLevel="0" collapsed="false">
      <c r="A601" s="90" t="str">
        <f aca="false">SRC_Harness!$A33&amp;""</f>
        <v/>
      </c>
      <c r="B601" s="59" t="s">
        <v>8331</v>
      </c>
      <c r="C601" s="58" t="n">
        <v>33</v>
      </c>
      <c r="D601" s="90" t="n">
        <f aca="false">SRC_Harness!$O33</f>
        <v>0</v>
      </c>
      <c r="E601" s="90" t="n">
        <f aca="false">SRC_Harness!$K33</f>
        <v>0</v>
      </c>
      <c r="F601" s="90" t="n">
        <f aca="false">SRC_Harness!$S33</f>
        <v>0</v>
      </c>
    </row>
    <row r="602" customFormat="false" ht="15" hidden="false" customHeight="false" outlineLevel="0" collapsed="false">
      <c r="A602" s="90" t="str">
        <f aca="false">SRC_Harness!$A34&amp;""</f>
        <v/>
      </c>
      <c r="B602" s="59" t="s">
        <v>8331</v>
      </c>
      <c r="C602" s="58" t="n">
        <v>34</v>
      </c>
      <c r="D602" s="90" t="n">
        <f aca="false">SRC_Harness!$O34</f>
        <v>0</v>
      </c>
      <c r="E602" s="90" t="n">
        <f aca="false">SRC_Harness!$K34</f>
        <v>0</v>
      </c>
      <c r="F602" s="90" t="n">
        <f aca="false">SRC_Harness!$S34</f>
        <v>0</v>
      </c>
    </row>
    <row r="603" customFormat="false" ht="15" hidden="false" customHeight="false" outlineLevel="0" collapsed="false">
      <c r="A603" s="90" t="str">
        <f aca="false">SRC_Harness!$A35&amp;""</f>
        <v/>
      </c>
      <c r="B603" s="59" t="s">
        <v>8331</v>
      </c>
      <c r="C603" s="58" t="n">
        <v>35</v>
      </c>
      <c r="D603" s="90" t="n">
        <f aca="false">SRC_Harness!$O35</f>
        <v>0</v>
      </c>
      <c r="E603" s="90" t="n">
        <f aca="false">SRC_Harness!$K35</f>
        <v>0</v>
      </c>
      <c r="F603" s="90" t="n">
        <f aca="false">SRC_Harness!$S35</f>
        <v>0</v>
      </c>
    </row>
    <row r="604" customFormat="false" ht="15" hidden="false" customHeight="false" outlineLevel="0" collapsed="false">
      <c r="A604" s="90" t="str">
        <f aca="false">SRC_Harness!$A36&amp;""</f>
        <v/>
      </c>
      <c r="B604" s="59" t="s">
        <v>8331</v>
      </c>
      <c r="C604" s="58" t="n">
        <v>36</v>
      </c>
      <c r="D604" s="90" t="n">
        <f aca="false">SRC_Harness!$O36</f>
        <v>0</v>
      </c>
      <c r="E604" s="90" t="n">
        <f aca="false">SRC_Harness!$K36</f>
        <v>0</v>
      </c>
      <c r="F604" s="90" t="n">
        <f aca="false">SRC_Harness!$S36</f>
        <v>0</v>
      </c>
    </row>
    <row r="605" customFormat="false" ht="15" hidden="false" customHeight="false" outlineLevel="0" collapsed="false">
      <c r="A605" s="90" t="str">
        <f aca="false">SRC_Harness!$A37&amp;""</f>
        <v/>
      </c>
      <c r="B605" s="59" t="s">
        <v>8331</v>
      </c>
      <c r="C605" s="58" t="n">
        <v>37</v>
      </c>
      <c r="D605" s="90" t="n">
        <f aca="false">SRC_Harness!$O37</f>
        <v>0</v>
      </c>
      <c r="E605" s="90" t="n">
        <f aca="false">SRC_Harness!$K37</f>
        <v>0</v>
      </c>
      <c r="F605" s="90" t="n">
        <f aca="false">SRC_Harness!$S37</f>
        <v>0</v>
      </c>
    </row>
    <row r="606" customFormat="false" ht="15" hidden="false" customHeight="false" outlineLevel="0" collapsed="false">
      <c r="A606" s="90" t="str">
        <f aca="false">SRC_Harness!$A38&amp;""</f>
        <v/>
      </c>
      <c r="B606" s="59" t="s">
        <v>8331</v>
      </c>
      <c r="C606" s="58" t="n">
        <v>38</v>
      </c>
      <c r="D606" s="90" t="n">
        <f aca="false">SRC_Harness!$O38</f>
        <v>0</v>
      </c>
      <c r="E606" s="90" t="n">
        <f aca="false">SRC_Harness!$K38</f>
        <v>0</v>
      </c>
      <c r="F606" s="90" t="n">
        <f aca="false">SRC_Harness!$S38</f>
        <v>0</v>
      </c>
    </row>
    <row r="607" customFormat="false" ht="15" hidden="false" customHeight="false" outlineLevel="0" collapsed="false">
      <c r="A607" s="90" t="str">
        <f aca="false">SRC_Harness!$A39&amp;""</f>
        <v/>
      </c>
      <c r="B607" s="59" t="s">
        <v>8331</v>
      </c>
      <c r="C607" s="58" t="n">
        <v>39</v>
      </c>
      <c r="D607" s="90" t="n">
        <f aca="false">SRC_Harness!$O39</f>
        <v>0</v>
      </c>
      <c r="E607" s="90" t="n">
        <f aca="false">SRC_Harness!$K39</f>
        <v>0</v>
      </c>
      <c r="F607" s="90" t="n">
        <f aca="false">SRC_Harness!$S39</f>
        <v>0</v>
      </c>
    </row>
    <row r="608" customFormat="false" ht="15" hidden="false" customHeight="false" outlineLevel="0" collapsed="false">
      <c r="A608" s="90" t="str">
        <f aca="false">SRC_Harness!$A40&amp;""</f>
        <v/>
      </c>
      <c r="B608" s="59" t="s">
        <v>8331</v>
      </c>
      <c r="C608" s="58" t="n">
        <v>40</v>
      </c>
      <c r="D608" s="90" t="n">
        <f aca="false">SRC_Harness!$O40</f>
        <v>0</v>
      </c>
      <c r="E608" s="90" t="n">
        <f aca="false">SRC_Harness!$K40</f>
        <v>0</v>
      </c>
      <c r="F608" s="90" t="n">
        <f aca="false">SRC_Harness!$S40</f>
        <v>0</v>
      </c>
    </row>
    <row r="609" customFormat="false" ht="15" hidden="false" customHeight="false" outlineLevel="0" collapsed="false">
      <c r="A609" s="90" t="str">
        <f aca="false">SRC_Harness!$A41&amp;""</f>
        <v/>
      </c>
      <c r="B609" s="59" t="s">
        <v>8331</v>
      </c>
      <c r="C609" s="58" t="n">
        <v>41</v>
      </c>
      <c r="D609" s="90" t="n">
        <f aca="false">SRC_Harness!$O41</f>
        <v>0</v>
      </c>
      <c r="E609" s="90" t="n">
        <f aca="false">SRC_Harness!$K41</f>
        <v>0</v>
      </c>
      <c r="F609" s="90" t="n">
        <f aca="false">SRC_Harness!$S41</f>
        <v>0</v>
      </c>
    </row>
    <row r="610" customFormat="false" ht="15" hidden="false" customHeight="false" outlineLevel="0" collapsed="false">
      <c r="A610" s="90" t="str">
        <f aca="false">SRC_Harness!$A42&amp;""</f>
        <v/>
      </c>
      <c r="B610" s="59" t="s">
        <v>8331</v>
      </c>
      <c r="C610" s="58" t="n">
        <v>42</v>
      </c>
      <c r="D610" s="90" t="n">
        <f aca="false">SRC_Harness!$O42</f>
        <v>0</v>
      </c>
      <c r="E610" s="90" t="n">
        <f aca="false">SRC_Harness!$K42</f>
        <v>0</v>
      </c>
      <c r="F610" s="90" t="n">
        <f aca="false">SRC_Harness!$S42</f>
        <v>0</v>
      </c>
    </row>
    <row r="611" customFormat="false" ht="15" hidden="false" customHeight="false" outlineLevel="0" collapsed="false">
      <c r="A611" s="90" t="str">
        <f aca="false">SRC_Harness!$A43&amp;""</f>
        <v/>
      </c>
      <c r="B611" s="59" t="s">
        <v>8331</v>
      </c>
      <c r="C611" s="58" t="n">
        <v>43</v>
      </c>
      <c r="D611" s="90" t="n">
        <f aca="false">SRC_Harness!$O43</f>
        <v>0</v>
      </c>
      <c r="E611" s="90" t="n">
        <f aca="false">SRC_Harness!$K43</f>
        <v>0</v>
      </c>
      <c r="F611" s="90" t="n">
        <f aca="false">SRC_Harness!$S43</f>
        <v>0</v>
      </c>
    </row>
    <row r="612" customFormat="false" ht="15" hidden="false" customHeight="false" outlineLevel="0" collapsed="false">
      <c r="A612" s="90" t="str">
        <f aca="false">SRC_Harness!$A44&amp;""</f>
        <v/>
      </c>
      <c r="B612" s="59" t="s">
        <v>8331</v>
      </c>
      <c r="C612" s="58" t="n">
        <v>44</v>
      </c>
      <c r="D612" s="90" t="n">
        <f aca="false">SRC_Harness!$O44</f>
        <v>0</v>
      </c>
      <c r="E612" s="90" t="n">
        <f aca="false">SRC_Harness!$K44</f>
        <v>0</v>
      </c>
      <c r="F612" s="90" t="n">
        <f aca="false">SRC_Harness!$S44</f>
        <v>0</v>
      </c>
    </row>
    <row r="613" customFormat="false" ht="15" hidden="false" customHeight="false" outlineLevel="0" collapsed="false">
      <c r="A613" s="90" t="str">
        <f aca="false">SRC_Harness!$A45&amp;""</f>
        <v/>
      </c>
      <c r="B613" s="59" t="s">
        <v>8331</v>
      </c>
      <c r="C613" s="58" t="n">
        <v>45</v>
      </c>
      <c r="D613" s="90" t="n">
        <f aca="false">SRC_Harness!$O45</f>
        <v>0</v>
      </c>
      <c r="E613" s="90" t="n">
        <f aca="false">SRC_Harness!$K45</f>
        <v>0</v>
      </c>
      <c r="F613" s="90" t="n">
        <f aca="false">SRC_Harness!$S45</f>
        <v>0</v>
      </c>
    </row>
    <row r="614" customFormat="false" ht="15" hidden="false" customHeight="false" outlineLevel="0" collapsed="false">
      <c r="A614" s="90" t="str">
        <f aca="false">SRC_Harness!$A46&amp;""</f>
        <v/>
      </c>
      <c r="B614" s="59" t="s">
        <v>8331</v>
      </c>
      <c r="C614" s="58" t="n">
        <v>46</v>
      </c>
      <c r="D614" s="90" t="n">
        <f aca="false">SRC_Harness!$O46</f>
        <v>0</v>
      </c>
      <c r="E614" s="90" t="n">
        <f aca="false">SRC_Harness!$K46</f>
        <v>0</v>
      </c>
      <c r="F614" s="90" t="n">
        <f aca="false">SRC_Harness!$S46</f>
        <v>0</v>
      </c>
    </row>
    <row r="615" customFormat="false" ht="15" hidden="false" customHeight="false" outlineLevel="0" collapsed="false">
      <c r="A615" s="90" t="str">
        <f aca="false">SRC_Harness!$A47&amp;""</f>
        <v/>
      </c>
      <c r="B615" s="59" t="s">
        <v>8331</v>
      </c>
      <c r="C615" s="58" t="n">
        <v>47</v>
      </c>
      <c r="D615" s="90" t="n">
        <f aca="false">SRC_Harness!$O47</f>
        <v>0</v>
      </c>
      <c r="E615" s="90" t="n">
        <f aca="false">SRC_Harness!$K47</f>
        <v>0</v>
      </c>
      <c r="F615" s="90" t="n">
        <f aca="false">SRC_Harness!$S47</f>
        <v>0</v>
      </c>
    </row>
    <row r="616" customFormat="false" ht="15" hidden="false" customHeight="false" outlineLevel="0" collapsed="false">
      <c r="A616" s="90" t="str">
        <f aca="false">SRC_Harness!$A48&amp;""</f>
        <v/>
      </c>
      <c r="B616" s="59" t="s">
        <v>8331</v>
      </c>
      <c r="C616" s="58" t="n">
        <v>48</v>
      </c>
      <c r="D616" s="90" t="n">
        <f aca="false">SRC_Harness!$O48</f>
        <v>0</v>
      </c>
      <c r="E616" s="90" t="n">
        <f aca="false">SRC_Harness!$K48</f>
        <v>0</v>
      </c>
      <c r="F616" s="90" t="n">
        <f aca="false">SRC_Harness!$S48</f>
        <v>0</v>
      </c>
    </row>
    <row r="617" customFormat="false" ht="15" hidden="false" customHeight="false" outlineLevel="0" collapsed="false">
      <c r="A617" s="90" t="str">
        <f aca="false">SRC_Harness!$A49&amp;""</f>
        <v/>
      </c>
      <c r="B617" s="59" t="s">
        <v>8331</v>
      </c>
      <c r="C617" s="58" t="n">
        <v>49</v>
      </c>
      <c r="D617" s="90" t="n">
        <f aca="false">SRC_Harness!$O49</f>
        <v>0</v>
      </c>
      <c r="E617" s="90" t="n">
        <f aca="false">SRC_Harness!$K49</f>
        <v>0</v>
      </c>
      <c r="F617" s="90" t="n">
        <f aca="false">SRC_Harness!$S49</f>
        <v>0</v>
      </c>
    </row>
    <row r="618" customFormat="false" ht="15" hidden="false" customHeight="false" outlineLevel="0" collapsed="false">
      <c r="A618" s="90" t="str">
        <f aca="false">SRC_Harness!$A50&amp;""</f>
        <v/>
      </c>
      <c r="B618" s="59" t="s">
        <v>8331</v>
      </c>
      <c r="C618" s="58" t="n">
        <v>50</v>
      </c>
      <c r="D618" s="90" t="n">
        <f aca="false">SRC_Harness!$O50</f>
        <v>0</v>
      </c>
      <c r="E618" s="90" t="n">
        <f aca="false">SRC_Harness!$K50</f>
        <v>0</v>
      </c>
      <c r="F618" s="90" t="n">
        <f aca="false">SRC_Harness!$S50</f>
        <v>0</v>
      </c>
    </row>
    <row r="619" customFormat="false" ht="15" hidden="false" customHeight="false" outlineLevel="0" collapsed="false">
      <c r="A619" s="90" t="str">
        <f aca="false">SRC_Harness!$A51&amp;""</f>
        <v/>
      </c>
      <c r="B619" s="59" t="s">
        <v>8331</v>
      </c>
      <c r="C619" s="58" t="n">
        <v>51</v>
      </c>
      <c r="D619" s="90" t="n">
        <f aca="false">SRC_Harness!$O51</f>
        <v>0</v>
      </c>
      <c r="E619" s="90" t="n">
        <f aca="false">SRC_Harness!$K51</f>
        <v>0</v>
      </c>
      <c r="F619" s="90" t="n">
        <f aca="false">SRC_Harness!$S51</f>
        <v>0</v>
      </c>
    </row>
    <row r="620" customFormat="false" ht="15" hidden="false" customHeight="false" outlineLevel="0" collapsed="false">
      <c r="A620" s="90" t="str">
        <f aca="false">SRC_Harness!$A52&amp;""</f>
        <v/>
      </c>
      <c r="B620" s="59" t="s">
        <v>8331</v>
      </c>
      <c r="C620" s="58" t="n">
        <v>52</v>
      </c>
      <c r="D620" s="90" t="n">
        <f aca="false">SRC_Harness!$O52</f>
        <v>0</v>
      </c>
      <c r="E620" s="90" t="n">
        <f aca="false">SRC_Harness!$K52</f>
        <v>0</v>
      </c>
      <c r="F620" s="90" t="n">
        <f aca="false">SRC_Harness!$S52</f>
        <v>0</v>
      </c>
    </row>
    <row r="621" customFormat="false" ht="15" hidden="false" customHeight="false" outlineLevel="0" collapsed="false">
      <c r="A621" s="90" t="str">
        <f aca="false">SRC_Harness!$A53&amp;""</f>
        <v/>
      </c>
      <c r="B621" s="59" t="s">
        <v>8331</v>
      </c>
      <c r="C621" s="58" t="n">
        <v>53</v>
      </c>
      <c r="D621" s="90" t="n">
        <f aca="false">SRC_Harness!$O53</f>
        <v>0</v>
      </c>
      <c r="E621" s="90" t="n">
        <f aca="false">SRC_Harness!$K53</f>
        <v>0</v>
      </c>
      <c r="F621" s="90" t="n">
        <f aca="false">SRC_Harness!$S53</f>
        <v>0</v>
      </c>
    </row>
    <row r="622" customFormat="false" ht="15" hidden="false" customHeight="false" outlineLevel="0" collapsed="false">
      <c r="A622" s="90" t="str">
        <f aca="false">SRC_Harness!$A54&amp;""</f>
        <v/>
      </c>
      <c r="B622" s="59" t="s">
        <v>8331</v>
      </c>
      <c r="C622" s="58" t="n">
        <v>54</v>
      </c>
      <c r="D622" s="90" t="n">
        <f aca="false">SRC_Harness!$O54</f>
        <v>0</v>
      </c>
      <c r="E622" s="90" t="n">
        <f aca="false">SRC_Harness!$K54</f>
        <v>0</v>
      </c>
      <c r="F622" s="90" t="n">
        <f aca="false">SRC_Harness!$S54</f>
        <v>0</v>
      </c>
    </row>
    <row r="623" customFormat="false" ht="15" hidden="false" customHeight="false" outlineLevel="0" collapsed="false">
      <c r="A623" s="90" t="str">
        <f aca="false">SRC_Harness!$A55&amp;""</f>
        <v/>
      </c>
      <c r="B623" s="59" t="s">
        <v>8331</v>
      </c>
      <c r="C623" s="58" t="n">
        <v>55</v>
      </c>
      <c r="D623" s="90" t="n">
        <f aca="false">SRC_Harness!$O55</f>
        <v>0</v>
      </c>
      <c r="E623" s="90" t="n">
        <f aca="false">SRC_Harness!$K55</f>
        <v>0</v>
      </c>
      <c r="F623" s="90" t="n">
        <f aca="false">SRC_Harness!$S55</f>
        <v>0</v>
      </c>
    </row>
    <row r="624" customFormat="false" ht="15" hidden="false" customHeight="false" outlineLevel="0" collapsed="false">
      <c r="A624" s="90" t="str">
        <f aca="false">SRC_Harness!$A56&amp;""</f>
        <v/>
      </c>
      <c r="B624" s="59" t="s">
        <v>8331</v>
      </c>
      <c r="C624" s="58" t="n">
        <v>56</v>
      </c>
      <c r="D624" s="90" t="n">
        <f aca="false">SRC_Harness!$O56</f>
        <v>0</v>
      </c>
      <c r="E624" s="90" t="n">
        <f aca="false">SRC_Harness!$K56</f>
        <v>0</v>
      </c>
      <c r="F624" s="90" t="n">
        <f aca="false">SRC_Harness!$S56</f>
        <v>0</v>
      </c>
    </row>
    <row r="625" customFormat="false" ht="15" hidden="false" customHeight="false" outlineLevel="0" collapsed="false">
      <c r="A625" s="90" t="str">
        <f aca="false">SRC_Harness!$A57&amp;""</f>
        <v/>
      </c>
      <c r="B625" s="59" t="s">
        <v>8331</v>
      </c>
      <c r="C625" s="58" t="n">
        <v>57</v>
      </c>
      <c r="D625" s="90" t="n">
        <f aca="false">SRC_Harness!$O57</f>
        <v>0</v>
      </c>
      <c r="E625" s="90" t="n">
        <f aca="false">SRC_Harness!$K57</f>
        <v>0</v>
      </c>
      <c r="F625" s="90" t="n">
        <f aca="false">SRC_Harness!$S57</f>
        <v>0</v>
      </c>
    </row>
    <row r="626" customFormat="false" ht="15" hidden="false" customHeight="false" outlineLevel="0" collapsed="false">
      <c r="A626" s="90" t="str">
        <f aca="false">SRC_Harness!$A58&amp;""</f>
        <v/>
      </c>
      <c r="B626" s="59" t="s">
        <v>8331</v>
      </c>
      <c r="C626" s="58" t="n">
        <v>58</v>
      </c>
      <c r="D626" s="90" t="n">
        <f aca="false">SRC_Harness!$O58</f>
        <v>0</v>
      </c>
      <c r="E626" s="90" t="n">
        <f aca="false">SRC_Harness!$K58</f>
        <v>0</v>
      </c>
      <c r="F626" s="90" t="n">
        <f aca="false">SRC_Harness!$S58</f>
        <v>0</v>
      </c>
    </row>
    <row r="627" customFormat="false" ht="15" hidden="false" customHeight="false" outlineLevel="0" collapsed="false">
      <c r="A627" s="90" t="str">
        <f aca="false">SRC_Harness!$A59&amp;""</f>
        <v/>
      </c>
      <c r="B627" s="59" t="s">
        <v>8331</v>
      </c>
      <c r="C627" s="58" t="n">
        <v>59</v>
      </c>
      <c r="D627" s="90" t="n">
        <f aca="false">SRC_Harness!$O59</f>
        <v>0</v>
      </c>
      <c r="E627" s="90" t="n">
        <f aca="false">SRC_Harness!$K59</f>
        <v>0</v>
      </c>
      <c r="F627" s="90" t="n">
        <f aca="false">SRC_Harness!$S59</f>
        <v>0</v>
      </c>
    </row>
    <row r="628" customFormat="false" ht="15" hidden="false" customHeight="false" outlineLevel="0" collapsed="false">
      <c r="A628" s="90" t="str">
        <f aca="false">SRC_Harness!$A60&amp;""</f>
        <v/>
      </c>
      <c r="B628" s="59" t="s">
        <v>8331</v>
      </c>
      <c r="C628" s="58" t="n">
        <v>60</v>
      </c>
      <c r="D628" s="90" t="n">
        <f aca="false">SRC_Harness!$O60</f>
        <v>0</v>
      </c>
      <c r="E628" s="90" t="n">
        <f aca="false">SRC_Harness!$K60</f>
        <v>0</v>
      </c>
      <c r="F628" s="90" t="n">
        <f aca="false">SRC_Harness!$S60</f>
        <v>0</v>
      </c>
    </row>
    <row r="629" customFormat="false" ht="15" hidden="false" customHeight="false" outlineLevel="0" collapsed="false">
      <c r="A629" s="90" t="str">
        <f aca="false">SRC_Harness!$A61&amp;""</f>
        <v/>
      </c>
      <c r="B629" s="59" t="s">
        <v>8331</v>
      </c>
      <c r="C629" s="58" t="n">
        <v>61</v>
      </c>
      <c r="D629" s="90" t="n">
        <f aca="false">SRC_Harness!$O61</f>
        <v>0</v>
      </c>
      <c r="E629" s="90" t="n">
        <f aca="false">SRC_Harness!$K61</f>
        <v>0</v>
      </c>
      <c r="F629" s="90" t="n">
        <f aca="false">SRC_Harness!$S61</f>
        <v>0</v>
      </c>
    </row>
    <row r="630" customFormat="false" ht="15" hidden="false" customHeight="false" outlineLevel="0" collapsed="false">
      <c r="A630" s="90" t="str">
        <f aca="false">SRC_Harness!$A62&amp;""</f>
        <v/>
      </c>
      <c r="B630" s="59" t="s">
        <v>8331</v>
      </c>
      <c r="C630" s="58" t="n">
        <v>62</v>
      </c>
      <c r="D630" s="90" t="n">
        <f aca="false">SRC_Harness!$O62</f>
        <v>0</v>
      </c>
      <c r="E630" s="90" t="n">
        <f aca="false">SRC_Harness!$K62</f>
        <v>0</v>
      </c>
      <c r="F630" s="90" t="n">
        <f aca="false">SRC_Harness!$S62</f>
        <v>0</v>
      </c>
    </row>
    <row r="631" customFormat="false" ht="15" hidden="false" customHeight="false" outlineLevel="0" collapsed="false">
      <c r="A631" s="90" t="str">
        <f aca="false">SRC_Harness!$A63&amp;""</f>
        <v/>
      </c>
      <c r="B631" s="59" t="s">
        <v>8331</v>
      </c>
      <c r="C631" s="58" t="n">
        <v>63</v>
      </c>
      <c r="D631" s="90" t="n">
        <f aca="false">SRC_Harness!$O63</f>
        <v>0</v>
      </c>
      <c r="E631" s="90" t="n">
        <f aca="false">SRC_Harness!$K63</f>
        <v>0</v>
      </c>
      <c r="F631" s="90" t="n">
        <f aca="false">SRC_Harness!$S63</f>
        <v>0</v>
      </c>
    </row>
    <row r="632" customFormat="false" ht="15" hidden="false" customHeight="false" outlineLevel="0" collapsed="false">
      <c r="A632" s="90" t="str">
        <f aca="false">SRC_Harness!$A64&amp;""</f>
        <v/>
      </c>
      <c r="B632" s="59" t="s">
        <v>8331</v>
      </c>
      <c r="C632" s="58" t="n">
        <v>64</v>
      </c>
      <c r="D632" s="90" t="n">
        <f aca="false">SRC_Harness!$O64</f>
        <v>0</v>
      </c>
      <c r="E632" s="90" t="n">
        <f aca="false">SRC_Harness!$K64</f>
        <v>0</v>
      </c>
      <c r="F632" s="90" t="n">
        <f aca="false">SRC_Harness!$S64</f>
        <v>0</v>
      </c>
    </row>
    <row r="633" customFormat="false" ht="15" hidden="false" customHeight="false" outlineLevel="0" collapsed="false">
      <c r="A633" s="90" t="str">
        <f aca="false">SRC_Harness!$A65&amp;""</f>
        <v/>
      </c>
      <c r="B633" s="59" t="s">
        <v>8331</v>
      </c>
      <c r="C633" s="58" t="n">
        <v>65</v>
      </c>
      <c r="D633" s="90" t="n">
        <f aca="false">SRC_Harness!$O65</f>
        <v>0</v>
      </c>
      <c r="E633" s="90" t="n">
        <f aca="false">SRC_Harness!$K65</f>
        <v>0</v>
      </c>
      <c r="F633" s="90" t="n">
        <f aca="false">SRC_Harness!$S65</f>
        <v>0</v>
      </c>
    </row>
    <row r="634" customFormat="false" ht="15" hidden="false" customHeight="false" outlineLevel="0" collapsed="false">
      <c r="A634" s="90" t="str">
        <f aca="false">SRC_Harness!$A66&amp;""</f>
        <v/>
      </c>
      <c r="B634" s="59" t="s">
        <v>8331</v>
      </c>
      <c r="C634" s="58" t="n">
        <v>66</v>
      </c>
      <c r="D634" s="90" t="n">
        <f aca="false">SRC_Harness!$O66</f>
        <v>0</v>
      </c>
      <c r="E634" s="90" t="n">
        <f aca="false">SRC_Harness!$K66</f>
        <v>0</v>
      </c>
      <c r="F634" s="90" t="n">
        <f aca="false">SRC_Harness!$S66</f>
        <v>0</v>
      </c>
    </row>
    <row r="635" customFormat="false" ht="15" hidden="false" customHeight="false" outlineLevel="0" collapsed="false">
      <c r="A635" s="90" t="str">
        <f aca="false">SRC_Harness!$A67&amp;""</f>
        <v/>
      </c>
      <c r="B635" s="59" t="s">
        <v>8331</v>
      </c>
      <c r="C635" s="58" t="n">
        <v>67</v>
      </c>
      <c r="D635" s="90" t="n">
        <f aca="false">SRC_Harness!$O67</f>
        <v>0</v>
      </c>
      <c r="E635" s="90" t="n">
        <f aca="false">SRC_Harness!$K67</f>
        <v>0</v>
      </c>
      <c r="F635" s="90" t="n">
        <f aca="false">SRC_Harness!$S67</f>
        <v>0</v>
      </c>
    </row>
    <row r="636" customFormat="false" ht="15" hidden="false" customHeight="false" outlineLevel="0" collapsed="false">
      <c r="A636" s="90" t="str">
        <f aca="false">SRC_Harness!$A68&amp;""</f>
        <v/>
      </c>
      <c r="B636" s="59" t="s">
        <v>8331</v>
      </c>
      <c r="C636" s="58" t="n">
        <v>68</v>
      </c>
      <c r="D636" s="90" t="n">
        <f aca="false">SRC_Harness!$O68</f>
        <v>0</v>
      </c>
      <c r="E636" s="90" t="n">
        <f aca="false">SRC_Harness!$K68</f>
        <v>0</v>
      </c>
      <c r="F636" s="90" t="n">
        <f aca="false">SRC_Harness!$S68</f>
        <v>0</v>
      </c>
    </row>
    <row r="637" customFormat="false" ht="15" hidden="false" customHeight="false" outlineLevel="0" collapsed="false">
      <c r="A637" s="90" t="str">
        <f aca="false">SRC_Harness!$A69&amp;""</f>
        <v/>
      </c>
      <c r="B637" s="59" t="s">
        <v>8331</v>
      </c>
      <c r="C637" s="58" t="n">
        <v>69</v>
      </c>
      <c r="D637" s="90" t="n">
        <f aca="false">SRC_Harness!$O69</f>
        <v>0</v>
      </c>
      <c r="E637" s="90" t="n">
        <f aca="false">SRC_Harness!$K69</f>
        <v>0</v>
      </c>
      <c r="F637" s="90" t="n">
        <f aca="false">SRC_Harness!$S69</f>
        <v>0</v>
      </c>
    </row>
    <row r="638" customFormat="false" ht="15" hidden="false" customHeight="false" outlineLevel="0" collapsed="false">
      <c r="A638" s="90" t="str">
        <f aca="false">SRC_Demand!$A5&amp;""</f>
        <v>SRC_DEM_001</v>
      </c>
      <c r="B638" s="59" t="s">
        <v>8332</v>
      </c>
      <c r="C638" s="58" t="n">
        <v>5</v>
      </c>
      <c r="D638" s="90" t="str">
        <f aca="false">SRC_Demand!$O5</f>
        <v>Active</v>
      </c>
      <c r="E638" s="90" t="n">
        <f aca="false">SRC_Demand!$K5</f>
        <v>1</v>
      </c>
      <c r="F638" s="90" t="str">
        <f aca="false">SRC_Demand!$S5</f>
        <v>—</v>
      </c>
    </row>
    <row r="639" customFormat="false" ht="15" hidden="false" customHeight="false" outlineLevel="0" collapsed="false">
      <c r="A639" s="90" t="str">
        <f aca="false">SRC_Demand!$A6&amp;""</f>
        <v>SRC_DEM_002</v>
      </c>
      <c r="B639" s="59" t="s">
        <v>8332</v>
      </c>
      <c r="C639" s="58" t="n">
        <v>6</v>
      </c>
      <c r="D639" s="90" t="str">
        <f aca="false">SRC_Demand!$O6</f>
        <v>Active</v>
      </c>
      <c r="E639" s="90" t="n">
        <f aca="false">SRC_Demand!$K6</f>
        <v>1</v>
      </c>
      <c r="F639" s="90" t="str">
        <f aca="false">SRC_Demand!$S6</f>
        <v>—</v>
      </c>
    </row>
    <row r="640" customFormat="false" ht="15" hidden="false" customHeight="false" outlineLevel="0" collapsed="false">
      <c r="A640" s="90" t="str">
        <f aca="false">SRC_Demand!$A7&amp;""</f>
        <v>SRC_DEM_003</v>
      </c>
      <c r="B640" s="59" t="s">
        <v>8332</v>
      </c>
      <c r="C640" s="58" t="n">
        <v>7</v>
      </c>
      <c r="D640" s="90" t="str">
        <f aca="false">SRC_Demand!$O7</f>
        <v>Active</v>
      </c>
      <c r="E640" s="90" t="n">
        <f aca="false">SRC_Demand!$K7</f>
        <v>1</v>
      </c>
      <c r="F640" s="90" t="str">
        <f aca="false">SRC_Demand!$S7</f>
        <v>—</v>
      </c>
    </row>
    <row r="641" customFormat="false" ht="15" hidden="false" customHeight="false" outlineLevel="0" collapsed="false">
      <c r="A641" s="90" t="str">
        <f aca="false">SRC_Demand!$A8&amp;""</f>
        <v>SRC_DEM_004</v>
      </c>
      <c r="B641" s="59" t="s">
        <v>8332</v>
      </c>
      <c r="C641" s="58" t="n">
        <v>8</v>
      </c>
      <c r="D641" s="90" t="str">
        <f aca="false">SRC_Demand!$O8</f>
        <v>Active</v>
      </c>
      <c r="E641" s="90" t="n">
        <f aca="false">SRC_Demand!$K8</f>
        <v>2</v>
      </c>
      <c r="F641" s="90" t="str">
        <f aca="false">SRC_Demand!$S8</f>
        <v>—</v>
      </c>
    </row>
    <row r="642" customFormat="false" ht="15" hidden="false" customHeight="false" outlineLevel="0" collapsed="false">
      <c r="A642" s="90" t="str">
        <f aca="false">SRC_Demand!$A9&amp;""</f>
        <v>SRC_DEM_005</v>
      </c>
      <c r="B642" s="59" t="s">
        <v>8332</v>
      </c>
      <c r="C642" s="58" t="n">
        <v>9</v>
      </c>
      <c r="D642" s="90" t="str">
        <f aca="false">SRC_Demand!$O9</f>
        <v>Active</v>
      </c>
      <c r="E642" s="90" t="n">
        <f aca="false">SRC_Demand!$K9</f>
        <v>2</v>
      </c>
      <c r="F642" s="90" t="str">
        <f aca="false">SRC_Demand!$S9</f>
        <v>—</v>
      </c>
    </row>
    <row r="643" customFormat="false" ht="15" hidden="false" customHeight="false" outlineLevel="0" collapsed="false">
      <c r="A643" s="90" t="str">
        <f aca="false">SRC_Demand!$A10&amp;""</f>
        <v>SRC_DEM_006</v>
      </c>
      <c r="B643" s="59" t="s">
        <v>8332</v>
      </c>
      <c r="C643" s="58" t="n">
        <v>10</v>
      </c>
      <c r="D643" s="90" t="str">
        <f aca="false">SRC_Demand!$O10</f>
        <v>Active</v>
      </c>
      <c r="E643" s="90" t="n">
        <f aca="false">SRC_Demand!$K10</f>
        <v>2</v>
      </c>
      <c r="F643" s="90" t="str">
        <f aca="false">SRC_Demand!$S10</f>
        <v>—</v>
      </c>
    </row>
    <row r="644" customFormat="false" ht="15" hidden="false" customHeight="false" outlineLevel="0" collapsed="false">
      <c r="A644" s="90" t="str">
        <f aca="false">SRC_Demand!$A11&amp;""</f>
        <v>SRC_DEM_007</v>
      </c>
      <c r="B644" s="59" t="s">
        <v>8332</v>
      </c>
      <c r="C644" s="58" t="n">
        <v>11</v>
      </c>
      <c r="D644" s="90" t="str">
        <f aca="false">SRC_Demand!$O11</f>
        <v>Active</v>
      </c>
      <c r="E644" s="90" t="n">
        <f aca="false">SRC_Demand!$K11</f>
        <v>2</v>
      </c>
      <c r="F644" s="90" t="str">
        <f aca="false">SRC_Demand!$S11</f>
        <v>—</v>
      </c>
    </row>
    <row r="645" customFormat="false" ht="15" hidden="false" customHeight="false" outlineLevel="0" collapsed="false">
      <c r="A645" s="90" t="str">
        <f aca="false">SRC_Demand!$A12&amp;""</f>
        <v>SRC_DEM_008</v>
      </c>
      <c r="B645" s="59" t="s">
        <v>8332</v>
      </c>
      <c r="C645" s="58" t="n">
        <v>12</v>
      </c>
      <c r="D645" s="90" t="str">
        <f aca="false">SRC_Demand!$O12</f>
        <v>Active</v>
      </c>
      <c r="E645" s="90" t="n">
        <f aca="false">SRC_Demand!$K12</f>
        <v>2</v>
      </c>
      <c r="F645" s="90" t="str">
        <f aca="false">SRC_Demand!$S12</f>
        <v>—</v>
      </c>
    </row>
    <row r="646" customFormat="false" ht="15" hidden="false" customHeight="false" outlineLevel="0" collapsed="false">
      <c r="A646" s="90" t="str">
        <f aca="false">SRC_Demand!$A13&amp;""</f>
        <v>SRC_DEM_009</v>
      </c>
      <c r="B646" s="59" t="s">
        <v>8332</v>
      </c>
      <c r="C646" s="58" t="n">
        <v>13</v>
      </c>
      <c r="D646" s="90" t="str">
        <f aca="false">SRC_Demand!$O13</f>
        <v>Active</v>
      </c>
      <c r="E646" s="90" t="n">
        <f aca="false">SRC_Demand!$K13</f>
        <v>2</v>
      </c>
      <c r="F646" s="90" t="str">
        <f aca="false">SRC_Demand!$S13</f>
        <v>—</v>
      </c>
    </row>
    <row r="647" customFormat="false" ht="15" hidden="false" customHeight="false" outlineLevel="0" collapsed="false">
      <c r="A647" s="90" t="str">
        <f aca="false">SRC_Demand!$A14&amp;""</f>
        <v>SRC_DEM_010</v>
      </c>
      <c r="B647" s="59" t="s">
        <v>8332</v>
      </c>
      <c r="C647" s="58" t="n">
        <v>14</v>
      </c>
      <c r="D647" s="90" t="str">
        <f aca="false">SRC_Demand!$O14</f>
        <v>Active</v>
      </c>
      <c r="E647" s="90" t="n">
        <f aca="false">SRC_Demand!$K14</f>
        <v>2</v>
      </c>
      <c r="F647" s="90" t="str">
        <f aca="false">SRC_Demand!$S14</f>
        <v>—</v>
      </c>
    </row>
    <row r="648" customFormat="false" ht="15" hidden="false" customHeight="false" outlineLevel="0" collapsed="false">
      <c r="A648" s="90" t="str">
        <f aca="false">SRC_Demand!$A15&amp;""</f>
        <v>SRC_DEM_011</v>
      </c>
      <c r="B648" s="59" t="s">
        <v>8332</v>
      </c>
      <c r="C648" s="58" t="n">
        <v>15</v>
      </c>
      <c r="D648" s="90" t="str">
        <f aca="false">SRC_Demand!$O15</f>
        <v>Active</v>
      </c>
      <c r="E648" s="90" t="n">
        <f aca="false">SRC_Demand!$K15</f>
        <v>1</v>
      </c>
      <c r="F648" s="90" t="str">
        <f aca="false">SRC_Demand!$S15</f>
        <v>2026-10-05</v>
      </c>
    </row>
    <row r="649" customFormat="false" ht="15" hidden="false" customHeight="false" outlineLevel="0" collapsed="false">
      <c r="A649" s="90" t="str">
        <f aca="false">SRC_Demand!$A16&amp;""</f>
        <v>SRC_DEM_012</v>
      </c>
      <c r="B649" s="59" t="s">
        <v>8332</v>
      </c>
      <c r="C649" s="58" t="n">
        <v>16</v>
      </c>
      <c r="D649" s="90" t="str">
        <f aca="false">SRC_Demand!$O16</f>
        <v>Active</v>
      </c>
      <c r="E649" s="90" t="n">
        <f aca="false">SRC_Demand!$K16</f>
        <v>2</v>
      </c>
      <c r="F649" s="90" t="str">
        <f aca="false">SRC_Demand!$S16</f>
        <v>—</v>
      </c>
    </row>
    <row r="650" customFormat="false" ht="15" hidden="false" customHeight="false" outlineLevel="0" collapsed="false">
      <c r="A650" s="90" t="str">
        <f aca="false">SRC_Demand!$A17&amp;""</f>
        <v>SRC_DEM_013</v>
      </c>
      <c r="B650" s="59" t="s">
        <v>8332</v>
      </c>
      <c r="C650" s="58" t="n">
        <v>17</v>
      </c>
      <c r="D650" s="90" t="str">
        <f aca="false">SRC_Demand!$O17</f>
        <v>Active</v>
      </c>
      <c r="E650" s="90" t="n">
        <f aca="false">SRC_Demand!$K17</f>
        <v>1</v>
      </c>
      <c r="F650" s="90" t="str">
        <f aca="false">SRC_Demand!$S17</f>
        <v>2026-10-05</v>
      </c>
    </row>
    <row r="651" customFormat="false" ht="15" hidden="false" customHeight="false" outlineLevel="0" collapsed="false">
      <c r="A651" s="90" t="str">
        <f aca="false">SRC_Demand!$A18&amp;""</f>
        <v>SRC_DEM_014</v>
      </c>
      <c r="B651" s="59" t="s">
        <v>8332</v>
      </c>
      <c r="C651" s="58" t="n">
        <v>18</v>
      </c>
      <c r="D651" s="90" t="str">
        <f aca="false">SRC_Demand!$O18</f>
        <v>Active</v>
      </c>
      <c r="E651" s="90" t="n">
        <f aca="false">SRC_Demand!$K18</f>
        <v>1</v>
      </c>
      <c r="F651" s="90" t="str">
        <f aca="false">SRC_Demand!$S18</f>
        <v>—</v>
      </c>
    </row>
    <row r="652" customFormat="false" ht="15" hidden="false" customHeight="false" outlineLevel="0" collapsed="false">
      <c r="A652" s="90" t="str">
        <f aca="false">SRC_Demand!$A19&amp;""</f>
        <v>SRC_DEM_015</v>
      </c>
      <c r="B652" s="59" t="s">
        <v>8332</v>
      </c>
      <c r="C652" s="58" t="n">
        <v>19</v>
      </c>
      <c r="D652" s="90" t="str">
        <f aca="false">SRC_Demand!$O19</f>
        <v>Active</v>
      </c>
      <c r="E652" s="90" t="n">
        <f aca="false">SRC_Demand!$K19</f>
        <v>1</v>
      </c>
      <c r="F652" s="90" t="str">
        <f aca="false">SRC_Demand!$S19</f>
        <v>—</v>
      </c>
    </row>
    <row r="653" customFormat="false" ht="15" hidden="false" customHeight="false" outlineLevel="0" collapsed="false">
      <c r="A653" s="90" t="str">
        <f aca="false">SRC_Demand!$A20&amp;""</f>
        <v>SRC_DEM_016</v>
      </c>
      <c r="B653" s="59" t="s">
        <v>8332</v>
      </c>
      <c r="C653" s="58" t="n">
        <v>20</v>
      </c>
      <c r="D653" s="90" t="str">
        <f aca="false">SRC_Demand!$O20</f>
        <v>Active</v>
      </c>
      <c r="E653" s="90" t="n">
        <f aca="false">SRC_Demand!$K20</f>
        <v>1</v>
      </c>
      <c r="F653" s="90" t="str">
        <f aca="false">SRC_Demand!$S20</f>
        <v>—</v>
      </c>
    </row>
    <row r="654" customFormat="false" ht="15" hidden="false" customHeight="false" outlineLevel="0" collapsed="false">
      <c r="A654" s="90" t="str">
        <f aca="false">SRC_Demand!$A21&amp;""</f>
        <v>SRC_DEM_017</v>
      </c>
      <c r="B654" s="59" t="s">
        <v>8332</v>
      </c>
      <c r="C654" s="58" t="n">
        <v>21</v>
      </c>
      <c r="D654" s="90" t="str">
        <f aca="false">SRC_Demand!$O21</f>
        <v>Active</v>
      </c>
      <c r="E654" s="90" t="n">
        <f aca="false">SRC_Demand!$K21</f>
        <v>1</v>
      </c>
      <c r="F654" s="90" t="str">
        <f aca="false">SRC_Demand!$S21</f>
        <v>—</v>
      </c>
    </row>
    <row r="655" customFormat="false" ht="15" hidden="false" customHeight="false" outlineLevel="0" collapsed="false">
      <c r="A655" s="90" t="str">
        <f aca="false">SRC_Demand!$A22&amp;""</f>
        <v>SRC_DEM_018</v>
      </c>
      <c r="B655" s="59" t="s">
        <v>8332</v>
      </c>
      <c r="C655" s="58" t="n">
        <v>22</v>
      </c>
      <c r="D655" s="90" t="str">
        <f aca="false">SRC_Demand!$O22</f>
        <v>Active</v>
      </c>
      <c r="E655" s="90" t="n">
        <f aca="false">SRC_Demand!$K22</f>
        <v>2</v>
      </c>
      <c r="F655" s="90" t="str">
        <f aca="false">SRC_Demand!$S22</f>
        <v>—</v>
      </c>
    </row>
    <row r="656" customFormat="false" ht="15" hidden="false" customHeight="false" outlineLevel="0" collapsed="false">
      <c r="A656" s="90" t="str">
        <f aca="false">SRC_Demand!$A23&amp;""</f>
        <v>SRC_DEM_019</v>
      </c>
      <c r="B656" s="59" t="s">
        <v>8332</v>
      </c>
      <c r="C656" s="58" t="n">
        <v>23</v>
      </c>
      <c r="D656" s="90" t="str">
        <f aca="false">SRC_Demand!$O23</f>
        <v>Active</v>
      </c>
      <c r="E656" s="90" t="n">
        <f aca="false">SRC_Demand!$K23</f>
        <v>1</v>
      </c>
      <c r="F656" s="90" t="str">
        <f aca="false">SRC_Demand!$S23</f>
        <v>—</v>
      </c>
    </row>
    <row r="657" customFormat="false" ht="15" hidden="false" customHeight="false" outlineLevel="0" collapsed="false">
      <c r="A657" s="90" t="str">
        <f aca="false">SRC_Demand!$A24&amp;""</f>
        <v>SRC_DEM_020</v>
      </c>
      <c r="B657" s="59" t="s">
        <v>8332</v>
      </c>
      <c r="C657" s="58" t="n">
        <v>24</v>
      </c>
      <c r="D657" s="90" t="str">
        <f aca="false">SRC_Demand!$O24</f>
        <v>Active</v>
      </c>
      <c r="E657" s="90" t="n">
        <f aca="false">SRC_Demand!$K24</f>
        <v>1</v>
      </c>
      <c r="F657" s="90" t="str">
        <f aca="false">SRC_Demand!$S24</f>
        <v>—</v>
      </c>
    </row>
    <row r="658" customFormat="false" ht="15" hidden="false" customHeight="false" outlineLevel="0" collapsed="false">
      <c r="A658" s="90" t="str">
        <f aca="false">SRC_Demand!$A25&amp;""</f>
        <v>SRC_DEM_021</v>
      </c>
      <c r="B658" s="59" t="s">
        <v>8332</v>
      </c>
      <c r="C658" s="58" t="n">
        <v>25</v>
      </c>
      <c r="D658" s="90" t="str">
        <f aca="false">SRC_Demand!$O25</f>
        <v>Active</v>
      </c>
      <c r="E658" s="90" t="n">
        <f aca="false">SRC_Demand!$K25</f>
        <v>1</v>
      </c>
      <c r="F658" s="90" t="str">
        <f aca="false">SRC_Demand!$S25</f>
        <v>—</v>
      </c>
    </row>
    <row r="659" customFormat="false" ht="15" hidden="false" customHeight="false" outlineLevel="0" collapsed="false">
      <c r="A659" s="90" t="str">
        <f aca="false">SRC_Demand!$A26&amp;""</f>
        <v>SRC_DEM_022</v>
      </c>
      <c r="B659" s="59" t="s">
        <v>8332</v>
      </c>
      <c r="C659" s="58" t="n">
        <v>26</v>
      </c>
      <c r="D659" s="90" t="str">
        <f aca="false">SRC_Demand!$O26</f>
        <v>Active</v>
      </c>
      <c r="E659" s="90" t="n">
        <f aca="false">SRC_Demand!$K26</f>
        <v>1</v>
      </c>
      <c r="F659" s="90" t="str">
        <f aca="false">SRC_Demand!$S26</f>
        <v>—</v>
      </c>
    </row>
    <row r="660" customFormat="false" ht="15" hidden="false" customHeight="false" outlineLevel="0" collapsed="false">
      <c r="A660" s="90" t="str">
        <f aca="false">SRC_Demand!$A27&amp;""</f>
        <v>SRC_DEM_023</v>
      </c>
      <c r="B660" s="59" t="s">
        <v>8332</v>
      </c>
      <c r="C660" s="58" t="n">
        <v>27</v>
      </c>
      <c r="D660" s="90" t="str">
        <f aca="false">SRC_Demand!$O27</f>
        <v>Active</v>
      </c>
      <c r="E660" s="90" t="n">
        <f aca="false">SRC_Demand!$K27</f>
        <v>1</v>
      </c>
      <c r="F660" s="90" t="str">
        <f aca="false">SRC_Demand!$S27</f>
        <v>—</v>
      </c>
    </row>
    <row r="661" customFormat="false" ht="15" hidden="false" customHeight="false" outlineLevel="0" collapsed="false">
      <c r="A661" s="90" t="str">
        <f aca="false">SRC_Demand!$A28&amp;""</f>
        <v>SRC_DEM_024</v>
      </c>
      <c r="B661" s="59" t="s">
        <v>8332</v>
      </c>
      <c r="C661" s="58" t="n">
        <v>28</v>
      </c>
      <c r="D661" s="90" t="str">
        <f aca="false">SRC_Demand!$O28</f>
        <v>Active</v>
      </c>
      <c r="E661" s="90" t="n">
        <f aca="false">SRC_Demand!$K28</f>
        <v>2</v>
      </c>
      <c r="F661" s="90" t="str">
        <f aca="false">SRC_Demand!$S28</f>
        <v>—</v>
      </c>
    </row>
    <row r="662" customFormat="false" ht="15" hidden="false" customHeight="false" outlineLevel="0" collapsed="false">
      <c r="A662" s="90" t="str">
        <f aca="false">SRC_Demand!$A29&amp;""</f>
        <v>SRC_DEM_025</v>
      </c>
      <c r="B662" s="59" t="s">
        <v>8332</v>
      </c>
      <c r="C662" s="58" t="n">
        <v>29</v>
      </c>
      <c r="D662" s="90" t="str">
        <f aca="false">SRC_Demand!$O29</f>
        <v>Active</v>
      </c>
      <c r="E662" s="90" t="n">
        <f aca="false">SRC_Demand!$K29</f>
        <v>2</v>
      </c>
      <c r="F662" s="90" t="str">
        <f aca="false">SRC_Demand!$S29</f>
        <v>—</v>
      </c>
    </row>
    <row r="663" customFormat="false" ht="15" hidden="false" customHeight="false" outlineLevel="0" collapsed="false">
      <c r="A663" s="90" t="str">
        <f aca="false">SRC_Demand!$A30&amp;""</f>
        <v>SRC_DEM_026</v>
      </c>
      <c r="B663" s="59" t="s">
        <v>8332</v>
      </c>
      <c r="C663" s="58" t="n">
        <v>30</v>
      </c>
      <c r="D663" s="90" t="str">
        <f aca="false">SRC_Demand!$O30</f>
        <v>Active</v>
      </c>
      <c r="E663" s="90" t="n">
        <f aca="false">SRC_Demand!$K30</f>
        <v>2</v>
      </c>
      <c r="F663" s="90" t="str">
        <f aca="false">SRC_Demand!$S30</f>
        <v>—</v>
      </c>
    </row>
    <row r="664" customFormat="false" ht="15" hidden="false" customHeight="false" outlineLevel="0" collapsed="false">
      <c r="A664" s="90" t="str">
        <f aca="false">SRC_Demand!$A31&amp;""</f>
        <v>SRC_DEM_027</v>
      </c>
      <c r="B664" s="59" t="s">
        <v>8332</v>
      </c>
      <c r="C664" s="58" t="n">
        <v>31</v>
      </c>
      <c r="D664" s="90" t="str">
        <f aca="false">SRC_Demand!$O31</f>
        <v>Active</v>
      </c>
      <c r="E664" s="90" t="n">
        <f aca="false">SRC_Demand!$K31</f>
        <v>2</v>
      </c>
      <c r="F664" s="90" t="str">
        <f aca="false">SRC_Demand!$S31</f>
        <v>—</v>
      </c>
    </row>
    <row r="665" customFormat="false" ht="15" hidden="false" customHeight="false" outlineLevel="0" collapsed="false">
      <c r="A665" s="90" t="str">
        <f aca="false">SRC_Demand!$A32&amp;""</f>
        <v>SRC_DEM_028</v>
      </c>
      <c r="B665" s="59" t="s">
        <v>8332</v>
      </c>
      <c r="C665" s="58" t="n">
        <v>32</v>
      </c>
      <c r="D665" s="90" t="str">
        <f aca="false">SRC_Demand!$O32</f>
        <v>Active</v>
      </c>
      <c r="E665" s="90" t="n">
        <f aca="false">SRC_Demand!$K32</f>
        <v>2</v>
      </c>
      <c r="F665" s="90" t="str">
        <f aca="false">SRC_Demand!$S32</f>
        <v>—</v>
      </c>
    </row>
    <row r="666" customFormat="false" ht="15" hidden="false" customHeight="false" outlineLevel="0" collapsed="false">
      <c r="A666" s="90" t="str">
        <f aca="false">SRC_Demand!$A33&amp;""</f>
        <v>SRC_DEM_029</v>
      </c>
      <c r="B666" s="59" t="s">
        <v>8332</v>
      </c>
      <c r="C666" s="58" t="n">
        <v>33</v>
      </c>
      <c r="D666" s="90" t="str">
        <f aca="false">SRC_Demand!$O33</f>
        <v>Active</v>
      </c>
      <c r="E666" s="90" t="n">
        <f aca="false">SRC_Demand!$K33</f>
        <v>2</v>
      </c>
      <c r="F666" s="90" t="str">
        <f aca="false">SRC_Demand!$S33</f>
        <v>—</v>
      </c>
    </row>
    <row r="667" customFormat="false" ht="15" hidden="false" customHeight="false" outlineLevel="0" collapsed="false">
      <c r="A667" s="90" t="str">
        <f aca="false">SRC_Demand!$A34&amp;""</f>
        <v>SRC_DEM_030</v>
      </c>
      <c r="B667" s="59" t="s">
        <v>8332</v>
      </c>
      <c r="C667" s="58" t="n">
        <v>34</v>
      </c>
      <c r="D667" s="90" t="str">
        <f aca="false">SRC_Demand!$O34</f>
        <v>Active</v>
      </c>
      <c r="E667" s="90" t="n">
        <f aca="false">SRC_Demand!$K34</f>
        <v>1</v>
      </c>
      <c r="F667" s="90" t="str">
        <f aca="false">SRC_Demand!$S34</f>
        <v>—</v>
      </c>
    </row>
    <row r="668" customFormat="false" ht="15" hidden="false" customHeight="false" outlineLevel="0" collapsed="false">
      <c r="A668" s="90" t="str">
        <f aca="false">SRC_Demand!$A35&amp;""</f>
        <v>SRC_DEM_031</v>
      </c>
      <c r="B668" s="59" t="s">
        <v>8332</v>
      </c>
      <c r="C668" s="58" t="n">
        <v>35</v>
      </c>
      <c r="D668" s="90" t="str">
        <f aca="false">SRC_Demand!$O35</f>
        <v>Active</v>
      </c>
      <c r="E668" s="90" t="n">
        <f aca="false">SRC_Demand!$K35</f>
        <v>2</v>
      </c>
      <c r="F668" s="90" t="str">
        <f aca="false">SRC_Demand!$S35</f>
        <v>—</v>
      </c>
    </row>
    <row r="669" customFormat="false" ht="15" hidden="false" customHeight="false" outlineLevel="0" collapsed="false">
      <c r="A669" s="90" t="str">
        <f aca="false">SRC_Demand!$A36&amp;""</f>
        <v>SRC_DEM_032</v>
      </c>
      <c r="B669" s="59" t="s">
        <v>8332</v>
      </c>
      <c r="C669" s="58" t="n">
        <v>36</v>
      </c>
      <c r="D669" s="90" t="str">
        <f aca="false">SRC_Demand!$O36</f>
        <v>Active</v>
      </c>
      <c r="E669" s="90" t="n">
        <f aca="false">SRC_Demand!$K36</f>
        <v>1</v>
      </c>
      <c r="F669" s="90" t="str">
        <f aca="false">SRC_Demand!$S36</f>
        <v>—</v>
      </c>
    </row>
    <row r="670" customFormat="false" ht="15" hidden="false" customHeight="false" outlineLevel="0" collapsed="false">
      <c r="A670" s="90" t="str">
        <f aca="false">SRC_Demand!$A37&amp;""</f>
        <v>SRC_DEM_033</v>
      </c>
      <c r="B670" s="59" t="s">
        <v>8332</v>
      </c>
      <c r="C670" s="58" t="n">
        <v>37</v>
      </c>
      <c r="D670" s="90" t="str">
        <f aca="false">SRC_Demand!$O37</f>
        <v>Active</v>
      </c>
      <c r="E670" s="90" t="n">
        <f aca="false">SRC_Demand!$K37</f>
        <v>1</v>
      </c>
      <c r="F670" s="90" t="str">
        <f aca="false">SRC_Demand!$S37</f>
        <v>—</v>
      </c>
    </row>
    <row r="671" customFormat="false" ht="15" hidden="false" customHeight="false" outlineLevel="0" collapsed="false">
      <c r="A671" s="90" t="str">
        <f aca="false">SRC_Demand!$A38&amp;""</f>
        <v>SRC_DEM_034</v>
      </c>
      <c r="B671" s="59" t="s">
        <v>8332</v>
      </c>
      <c r="C671" s="58" t="n">
        <v>38</v>
      </c>
      <c r="D671" s="90" t="str">
        <f aca="false">SRC_Demand!$O38</f>
        <v>Active</v>
      </c>
      <c r="E671" s="90" t="n">
        <f aca="false">SRC_Demand!$K38</f>
        <v>2</v>
      </c>
      <c r="F671" s="90" t="str">
        <f aca="false">SRC_Demand!$S38</f>
        <v>—</v>
      </c>
    </row>
    <row r="672" customFormat="false" ht="15" hidden="false" customHeight="false" outlineLevel="0" collapsed="false">
      <c r="A672" s="90" t="str">
        <f aca="false">SRC_Demand!$A39&amp;""</f>
        <v>SRC_DEM_035</v>
      </c>
      <c r="B672" s="59" t="s">
        <v>8332</v>
      </c>
      <c r="C672" s="58" t="n">
        <v>39</v>
      </c>
      <c r="D672" s="90" t="str">
        <f aca="false">SRC_Demand!$O39</f>
        <v>Active</v>
      </c>
      <c r="E672" s="90" t="n">
        <f aca="false">SRC_Demand!$K39</f>
        <v>2</v>
      </c>
      <c r="F672" s="90" t="str">
        <f aca="false">SRC_Demand!$S39</f>
        <v>—</v>
      </c>
    </row>
    <row r="673" customFormat="false" ht="15" hidden="false" customHeight="false" outlineLevel="0" collapsed="false">
      <c r="A673" s="90" t="str">
        <f aca="false">SRC_Demand!$A40&amp;""</f>
        <v>SRC_DEM_036</v>
      </c>
      <c r="B673" s="59" t="s">
        <v>8332</v>
      </c>
      <c r="C673" s="58" t="n">
        <v>40</v>
      </c>
      <c r="D673" s="90" t="str">
        <f aca="false">SRC_Demand!$O40</f>
        <v>Active</v>
      </c>
      <c r="E673" s="90" t="n">
        <f aca="false">SRC_Demand!$K40</f>
        <v>2</v>
      </c>
      <c r="F673" s="90" t="str">
        <f aca="false">SRC_Demand!$S40</f>
        <v>—</v>
      </c>
    </row>
    <row r="674" customFormat="false" ht="15" hidden="false" customHeight="false" outlineLevel="0" collapsed="false">
      <c r="A674" s="90" t="str">
        <f aca="false">SRC_Demand!$A41&amp;""</f>
        <v>SRC_DEM_037</v>
      </c>
      <c r="B674" s="59" t="s">
        <v>8332</v>
      </c>
      <c r="C674" s="58" t="n">
        <v>41</v>
      </c>
      <c r="D674" s="90" t="str">
        <f aca="false">SRC_Demand!$O41</f>
        <v>Active</v>
      </c>
      <c r="E674" s="90" t="n">
        <f aca="false">SRC_Demand!$K41</f>
        <v>2</v>
      </c>
      <c r="F674" s="90" t="str">
        <f aca="false">SRC_Demand!$S41</f>
        <v>—</v>
      </c>
    </row>
    <row r="675" customFormat="false" ht="15" hidden="false" customHeight="false" outlineLevel="0" collapsed="false">
      <c r="A675" s="90" t="str">
        <f aca="false">SRC_Demand!$A42&amp;""</f>
        <v>SRC_DEM_038</v>
      </c>
      <c r="B675" s="59" t="s">
        <v>8332</v>
      </c>
      <c r="C675" s="58" t="n">
        <v>42</v>
      </c>
      <c r="D675" s="90" t="str">
        <f aca="false">SRC_Demand!$O42</f>
        <v>Active</v>
      </c>
      <c r="E675" s="90" t="n">
        <f aca="false">SRC_Demand!$K42</f>
        <v>2</v>
      </c>
      <c r="F675" s="90" t="str">
        <f aca="false">SRC_Demand!$S42</f>
        <v>—</v>
      </c>
    </row>
    <row r="676" customFormat="false" ht="15" hidden="false" customHeight="false" outlineLevel="0" collapsed="false">
      <c r="A676" s="90" t="str">
        <f aca="false">SRC_Demand!$A43&amp;""</f>
        <v>SRC_DEM_039</v>
      </c>
      <c r="B676" s="59" t="s">
        <v>8332</v>
      </c>
      <c r="C676" s="58" t="n">
        <v>43</v>
      </c>
      <c r="D676" s="90" t="str">
        <f aca="false">SRC_Demand!$O43</f>
        <v>Active</v>
      </c>
      <c r="E676" s="90" t="n">
        <f aca="false">SRC_Demand!$K43</f>
        <v>2</v>
      </c>
      <c r="F676" s="90" t="str">
        <f aca="false">SRC_Demand!$S43</f>
        <v>—</v>
      </c>
    </row>
    <row r="677" customFormat="false" ht="15" hidden="false" customHeight="false" outlineLevel="0" collapsed="false">
      <c r="A677" s="90" t="str">
        <f aca="false">SRC_Demand!$A44&amp;""</f>
        <v>SRC_DEM_040</v>
      </c>
      <c r="B677" s="59" t="s">
        <v>8332</v>
      </c>
      <c r="C677" s="58" t="n">
        <v>44</v>
      </c>
      <c r="D677" s="90" t="str">
        <f aca="false">SRC_Demand!$O44</f>
        <v>Active</v>
      </c>
      <c r="E677" s="90" t="n">
        <f aca="false">SRC_Demand!$K44</f>
        <v>2</v>
      </c>
      <c r="F677" s="90" t="str">
        <f aca="false">SRC_Demand!$S44</f>
        <v>—</v>
      </c>
    </row>
    <row r="678" customFormat="false" ht="15" hidden="false" customHeight="false" outlineLevel="0" collapsed="false">
      <c r="A678" s="90" t="str">
        <f aca="false">SRC_Demand!$A45&amp;""</f>
        <v>SRC_DEM_041</v>
      </c>
      <c r="B678" s="59" t="s">
        <v>8332</v>
      </c>
      <c r="C678" s="58" t="n">
        <v>45</v>
      </c>
      <c r="D678" s="90" t="str">
        <f aca="false">SRC_Demand!$O45</f>
        <v>Active</v>
      </c>
      <c r="E678" s="90" t="n">
        <f aca="false">SRC_Demand!$K45</f>
        <v>2</v>
      </c>
      <c r="F678" s="90" t="str">
        <f aca="false">SRC_Demand!$S45</f>
        <v>—</v>
      </c>
    </row>
    <row r="679" customFormat="false" ht="15" hidden="false" customHeight="false" outlineLevel="0" collapsed="false">
      <c r="A679" s="90" t="str">
        <f aca="false">SRC_Demand!$A46&amp;""</f>
        <v>SRC_DEM_042</v>
      </c>
      <c r="B679" s="59" t="s">
        <v>8332</v>
      </c>
      <c r="C679" s="58" t="n">
        <v>46</v>
      </c>
      <c r="D679" s="90" t="str">
        <f aca="false">SRC_Demand!$O46</f>
        <v>Active</v>
      </c>
      <c r="E679" s="90" t="n">
        <f aca="false">SRC_Demand!$K46</f>
        <v>2</v>
      </c>
      <c r="F679" s="90" t="str">
        <f aca="false">SRC_Demand!$S46</f>
        <v>—</v>
      </c>
    </row>
    <row r="680" customFormat="false" ht="15" hidden="false" customHeight="false" outlineLevel="0" collapsed="false">
      <c r="A680" s="90" t="str">
        <f aca="false">SRC_Demand!$A47&amp;""</f>
        <v>SRC_DEM_043</v>
      </c>
      <c r="B680" s="59" t="s">
        <v>8332</v>
      </c>
      <c r="C680" s="58" t="n">
        <v>47</v>
      </c>
      <c r="D680" s="90" t="str">
        <f aca="false">SRC_Demand!$O47</f>
        <v>Active</v>
      </c>
      <c r="E680" s="90" t="n">
        <f aca="false">SRC_Demand!$K47</f>
        <v>2</v>
      </c>
      <c r="F680" s="90" t="str">
        <f aca="false">SRC_Demand!$S47</f>
        <v>—</v>
      </c>
    </row>
    <row r="681" customFormat="false" ht="15" hidden="false" customHeight="false" outlineLevel="0" collapsed="false">
      <c r="A681" s="90" t="str">
        <f aca="false">SRC_Demand!$A48&amp;""</f>
        <v>SRC_DEM_044</v>
      </c>
      <c r="B681" s="59" t="s">
        <v>8332</v>
      </c>
      <c r="C681" s="58" t="n">
        <v>48</v>
      </c>
      <c r="D681" s="90" t="str">
        <f aca="false">SRC_Demand!$O48</f>
        <v>Active</v>
      </c>
      <c r="E681" s="90" t="n">
        <f aca="false">SRC_Demand!$K48</f>
        <v>1</v>
      </c>
      <c r="F681" s="90" t="str">
        <f aca="false">SRC_Demand!$S48</f>
        <v>—</v>
      </c>
    </row>
    <row r="682" customFormat="false" ht="15" hidden="false" customHeight="false" outlineLevel="0" collapsed="false">
      <c r="A682" s="90" t="str">
        <f aca="false">SRC_Demand!$A49&amp;""</f>
        <v>SRC_DEM_045</v>
      </c>
      <c r="B682" s="59" t="s">
        <v>8332</v>
      </c>
      <c r="C682" s="58" t="n">
        <v>49</v>
      </c>
      <c r="D682" s="90" t="str">
        <f aca="false">SRC_Demand!$O49</f>
        <v>Active</v>
      </c>
      <c r="E682" s="90" t="n">
        <f aca="false">SRC_Demand!$K49</f>
        <v>1</v>
      </c>
      <c r="F682" s="90" t="str">
        <f aca="false">SRC_Demand!$S49</f>
        <v>—</v>
      </c>
    </row>
    <row r="683" customFormat="false" ht="15" hidden="false" customHeight="false" outlineLevel="0" collapsed="false">
      <c r="A683" s="90" t="str">
        <f aca="false">SRC_Demand!$A50&amp;""</f>
        <v>SRC_DEM_046</v>
      </c>
      <c r="B683" s="59" t="s">
        <v>8332</v>
      </c>
      <c r="C683" s="58" t="n">
        <v>50</v>
      </c>
      <c r="D683" s="90" t="str">
        <f aca="false">SRC_Demand!$O50</f>
        <v>Active</v>
      </c>
      <c r="E683" s="90" t="n">
        <f aca="false">SRC_Demand!$K50</f>
        <v>1</v>
      </c>
      <c r="F683" s="90" t="str">
        <f aca="false">SRC_Demand!$S50</f>
        <v>—</v>
      </c>
    </row>
    <row r="684" customFormat="false" ht="15" hidden="false" customHeight="false" outlineLevel="0" collapsed="false">
      <c r="A684" s="90" t="str">
        <f aca="false">SRC_Demand!$A51&amp;""</f>
        <v>SRC_DEM_047</v>
      </c>
      <c r="B684" s="59" t="s">
        <v>8332</v>
      </c>
      <c r="C684" s="58" t="n">
        <v>51</v>
      </c>
      <c r="D684" s="90" t="str">
        <f aca="false">SRC_Demand!$O51</f>
        <v>Active</v>
      </c>
      <c r="E684" s="90" t="n">
        <f aca="false">SRC_Demand!$K51</f>
        <v>1</v>
      </c>
      <c r="F684" s="90" t="str">
        <f aca="false">SRC_Demand!$S51</f>
        <v>—</v>
      </c>
    </row>
    <row r="685" customFormat="false" ht="15" hidden="false" customHeight="false" outlineLevel="0" collapsed="false">
      <c r="A685" s="90" t="str">
        <f aca="false">SRC_Demand!$A52&amp;""</f>
        <v>SRC_DEM_048</v>
      </c>
      <c r="B685" s="59" t="s">
        <v>8332</v>
      </c>
      <c r="C685" s="58" t="n">
        <v>52</v>
      </c>
      <c r="D685" s="90" t="str">
        <f aca="false">SRC_Demand!$O52</f>
        <v>Active</v>
      </c>
      <c r="E685" s="90" t="n">
        <f aca="false">SRC_Demand!$K52</f>
        <v>2</v>
      </c>
      <c r="F685" s="90" t="str">
        <f aca="false">SRC_Demand!$S52</f>
        <v>—</v>
      </c>
    </row>
    <row r="686" customFormat="false" ht="15" hidden="false" customHeight="false" outlineLevel="0" collapsed="false">
      <c r="A686" s="90" t="str">
        <f aca="false">SRC_Demand!$A53&amp;""</f>
        <v>SRC_DEM_049</v>
      </c>
      <c r="B686" s="59" t="s">
        <v>8332</v>
      </c>
      <c r="C686" s="58" t="n">
        <v>53</v>
      </c>
      <c r="D686" s="90" t="str">
        <f aca="false">SRC_Demand!$O53</f>
        <v>Active</v>
      </c>
      <c r="E686" s="90" t="n">
        <f aca="false">SRC_Demand!$K53</f>
        <v>1</v>
      </c>
      <c r="F686" s="90" t="str">
        <f aca="false">SRC_Demand!$S53</f>
        <v>—</v>
      </c>
    </row>
    <row r="687" customFormat="false" ht="15" hidden="false" customHeight="false" outlineLevel="0" collapsed="false">
      <c r="A687" s="90" t="str">
        <f aca="false">SRC_Demand!$A54&amp;""</f>
        <v>SRC_DEM_050</v>
      </c>
      <c r="B687" s="59" t="s">
        <v>8332</v>
      </c>
      <c r="C687" s="58" t="n">
        <v>54</v>
      </c>
      <c r="D687" s="90" t="str">
        <f aca="false">SRC_Demand!$O54</f>
        <v>Active</v>
      </c>
      <c r="E687" s="90" t="n">
        <f aca="false">SRC_Demand!$K54</f>
        <v>1</v>
      </c>
      <c r="F687" s="90" t="str">
        <f aca="false">SRC_Demand!$S54</f>
        <v>—</v>
      </c>
    </row>
    <row r="688" customFormat="false" ht="15" hidden="false" customHeight="false" outlineLevel="0" collapsed="false">
      <c r="A688" s="90" t="str">
        <f aca="false">SRC_Demand!$A55&amp;""</f>
        <v>SRC_DEM_051</v>
      </c>
      <c r="B688" s="59" t="s">
        <v>8332</v>
      </c>
      <c r="C688" s="58" t="n">
        <v>55</v>
      </c>
      <c r="D688" s="90" t="str">
        <f aca="false">SRC_Demand!$O55</f>
        <v>Active</v>
      </c>
      <c r="E688" s="90" t="n">
        <f aca="false">SRC_Demand!$K55</f>
        <v>1</v>
      </c>
      <c r="F688" s="90" t="str">
        <f aca="false">SRC_Demand!$S55</f>
        <v>—</v>
      </c>
    </row>
    <row r="689" customFormat="false" ht="15" hidden="false" customHeight="false" outlineLevel="0" collapsed="false">
      <c r="A689" s="90" t="str">
        <f aca="false">SRC_Demand!$A56&amp;""</f>
        <v>SRC_DEM_052</v>
      </c>
      <c r="B689" s="59" t="s">
        <v>8332</v>
      </c>
      <c r="C689" s="58" t="n">
        <v>56</v>
      </c>
      <c r="D689" s="90" t="str">
        <f aca="false">SRC_Demand!$O56</f>
        <v>Active</v>
      </c>
      <c r="E689" s="90" t="n">
        <f aca="false">SRC_Demand!$K56</f>
        <v>1</v>
      </c>
      <c r="F689" s="90" t="str">
        <f aca="false">SRC_Demand!$S56</f>
        <v>—</v>
      </c>
    </row>
    <row r="690" customFormat="false" ht="15" hidden="false" customHeight="false" outlineLevel="0" collapsed="false">
      <c r="A690" s="90" t="str">
        <f aca="false">SRC_Demand!$A57&amp;""</f>
        <v>SRC_DEM_053</v>
      </c>
      <c r="B690" s="59" t="s">
        <v>8332</v>
      </c>
      <c r="C690" s="58" t="n">
        <v>57</v>
      </c>
      <c r="D690" s="90" t="str">
        <f aca="false">SRC_Demand!$O57</f>
        <v>Active</v>
      </c>
      <c r="E690" s="90" t="n">
        <f aca="false">SRC_Demand!$K57</f>
        <v>1</v>
      </c>
      <c r="F690" s="90" t="str">
        <f aca="false">SRC_Demand!$S57</f>
        <v>—</v>
      </c>
    </row>
    <row r="691" customFormat="false" ht="15" hidden="false" customHeight="false" outlineLevel="0" collapsed="false">
      <c r="A691" s="90" t="str">
        <f aca="false">SRC_Demand!$A58&amp;""</f>
        <v>SRC_DEM_054</v>
      </c>
      <c r="B691" s="59" t="s">
        <v>8332</v>
      </c>
      <c r="C691" s="58" t="n">
        <v>58</v>
      </c>
      <c r="D691" s="90" t="str">
        <f aca="false">SRC_Demand!$O58</f>
        <v>Active</v>
      </c>
      <c r="E691" s="90" t="n">
        <f aca="false">SRC_Demand!$K58</f>
        <v>2</v>
      </c>
      <c r="F691" s="90" t="str">
        <f aca="false">SRC_Demand!$S58</f>
        <v>—</v>
      </c>
    </row>
    <row r="692" customFormat="false" ht="15" hidden="false" customHeight="false" outlineLevel="0" collapsed="false">
      <c r="A692" s="90" t="str">
        <f aca="false">SRC_Demand!$A59&amp;""</f>
        <v>SRC_DEM_055</v>
      </c>
      <c r="B692" s="59" t="s">
        <v>8332</v>
      </c>
      <c r="C692" s="58" t="n">
        <v>59</v>
      </c>
      <c r="D692" s="90" t="str">
        <f aca="false">SRC_Demand!$O59</f>
        <v>Active</v>
      </c>
      <c r="E692" s="90" t="n">
        <f aca="false">SRC_Demand!$K59</f>
        <v>1</v>
      </c>
      <c r="F692" s="90" t="str">
        <f aca="false">SRC_Demand!$S59</f>
        <v>—</v>
      </c>
    </row>
    <row r="693" customFormat="false" ht="15" hidden="false" customHeight="false" outlineLevel="0" collapsed="false">
      <c r="A693" s="90" t="str">
        <f aca="false">SRC_Demand!$A60&amp;""</f>
        <v>SRC_DEM_056</v>
      </c>
      <c r="B693" s="59" t="s">
        <v>8332</v>
      </c>
      <c r="C693" s="58" t="n">
        <v>60</v>
      </c>
      <c r="D693" s="90" t="str">
        <f aca="false">SRC_Demand!$O60</f>
        <v>Active</v>
      </c>
      <c r="E693" s="90" t="n">
        <f aca="false">SRC_Demand!$K60</f>
        <v>2</v>
      </c>
      <c r="F693" s="90" t="str">
        <f aca="false">SRC_Demand!$S60</f>
        <v>—</v>
      </c>
    </row>
    <row r="694" customFormat="false" ht="15" hidden="false" customHeight="false" outlineLevel="0" collapsed="false">
      <c r="A694" s="90" t="str">
        <f aca="false">SRC_Demand!$A61&amp;""</f>
        <v>SRC_DEM_057</v>
      </c>
      <c r="B694" s="59" t="s">
        <v>8332</v>
      </c>
      <c r="C694" s="58" t="n">
        <v>61</v>
      </c>
      <c r="D694" s="90" t="str">
        <f aca="false">SRC_Demand!$O61</f>
        <v>Active</v>
      </c>
      <c r="E694" s="90" t="n">
        <f aca="false">SRC_Demand!$K61</f>
        <v>2</v>
      </c>
      <c r="F694" s="90" t="str">
        <f aca="false">SRC_Demand!$S61</f>
        <v>—</v>
      </c>
    </row>
    <row r="695" customFormat="false" ht="15" hidden="false" customHeight="false" outlineLevel="0" collapsed="false">
      <c r="A695" s="90" t="str">
        <f aca="false">SRC_Demand!$A62&amp;""</f>
        <v>SRC_DEM_058</v>
      </c>
      <c r="B695" s="59" t="s">
        <v>8332</v>
      </c>
      <c r="C695" s="58" t="n">
        <v>62</v>
      </c>
      <c r="D695" s="90" t="str">
        <f aca="false">SRC_Demand!$O62</f>
        <v>Active</v>
      </c>
      <c r="E695" s="90" t="n">
        <f aca="false">SRC_Demand!$K62</f>
        <v>2</v>
      </c>
      <c r="F695" s="90" t="str">
        <f aca="false">SRC_Demand!$S62</f>
        <v>—</v>
      </c>
    </row>
    <row r="696" customFormat="false" ht="15" hidden="false" customHeight="false" outlineLevel="0" collapsed="false">
      <c r="A696" s="90" t="str">
        <f aca="false">SRC_Demand!$A63&amp;""</f>
        <v>SRC_DEM_059</v>
      </c>
      <c r="B696" s="59" t="s">
        <v>8332</v>
      </c>
      <c r="C696" s="58" t="n">
        <v>63</v>
      </c>
      <c r="D696" s="90" t="str">
        <f aca="false">SRC_Demand!$O63</f>
        <v>Active</v>
      </c>
      <c r="E696" s="90" t="n">
        <f aca="false">SRC_Demand!$K63</f>
        <v>1</v>
      </c>
      <c r="F696" s="90" t="str">
        <f aca="false">SRC_Demand!$S63</f>
        <v>—</v>
      </c>
    </row>
    <row r="697" customFormat="false" ht="15" hidden="false" customHeight="false" outlineLevel="0" collapsed="false">
      <c r="A697" s="90" t="str">
        <f aca="false">SRC_Demand!$A64&amp;""</f>
        <v>SRC_DEM_060</v>
      </c>
      <c r="B697" s="59" t="s">
        <v>8332</v>
      </c>
      <c r="C697" s="58" t="n">
        <v>64</v>
      </c>
      <c r="D697" s="90" t="str">
        <f aca="false">SRC_Demand!$O64</f>
        <v>Active</v>
      </c>
      <c r="E697" s="90" t="n">
        <f aca="false">SRC_Demand!$K64</f>
        <v>2</v>
      </c>
      <c r="F697" s="90" t="str">
        <f aca="false">SRC_Demand!$S64</f>
        <v>—</v>
      </c>
    </row>
    <row r="698" customFormat="false" ht="15" hidden="false" customHeight="false" outlineLevel="0" collapsed="false">
      <c r="A698" s="90" t="str">
        <f aca="false">SRC_Demand!$A65&amp;""</f>
        <v>SRC_DEM_061</v>
      </c>
      <c r="B698" s="59" t="s">
        <v>8332</v>
      </c>
      <c r="C698" s="58" t="n">
        <v>65</v>
      </c>
      <c r="D698" s="90" t="str">
        <f aca="false">SRC_Demand!$O65</f>
        <v>Active</v>
      </c>
      <c r="E698" s="90" t="n">
        <f aca="false">SRC_Demand!$K65</f>
        <v>1</v>
      </c>
      <c r="F698" s="90" t="str">
        <f aca="false">SRC_Demand!$S65</f>
        <v>—</v>
      </c>
    </row>
    <row r="699" customFormat="false" ht="15" hidden="false" customHeight="false" outlineLevel="0" collapsed="false">
      <c r="A699" s="90" t="str">
        <f aca="false">SRC_Demand!$A66&amp;""</f>
        <v>SRC_DEM_062</v>
      </c>
      <c r="B699" s="59" t="s">
        <v>8332</v>
      </c>
      <c r="C699" s="58" t="n">
        <v>66</v>
      </c>
      <c r="D699" s="90" t="str">
        <f aca="false">SRC_Demand!$O66</f>
        <v>Active</v>
      </c>
      <c r="E699" s="90" t="n">
        <f aca="false">SRC_Demand!$K66</f>
        <v>2</v>
      </c>
      <c r="F699" s="90" t="str">
        <f aca="false">SRC_Demand!$S66</f>
        <v>—</v>
      </c>
    </row>
    <row r="700" customFormat="false" ht="15" hidden="false" customHeight="false" outlineLevel="0" collapsed="false">
      <c r="A700" s="90" t="str">
        <f aca="false">SRC_Demand!$A67&amp;""</f>
        <v>SRC_DEM_063</v>
      </c>
      <c r="B700" s="59" t="s">
        <v>8332</v>
      </c>
      <c r="C700" s="58" t="n">
        <v>67</v>
      </c>
      <c r="D700" s="90" t="str">
        <f aca="false">SRC_Demand!$O67</f>
        <v>Active</v>
      </c>
      <c r="E700" s="90" t="n">
        <f aca="false">SRC_Demand!$K67</f>
        <v>2</v>
      </c>
      <c r="F700" s="90" t="str">
        <f aca="false">SRC_Demand!$S67</f>
        <v>—</v>
      </c>
    </row>
    <row r="701" customFormat="false" ht="15" hidden="false" customHeight="false" outlineLevel="0" collapsed="false">
      <c r="A701" s="90" t="str">
        <f aca="false">SRC_Demand!$A68&amp;""</f>
        <v>SRC_DEM_064</v>
      </c>
      <c r="B701" s="59" t="s">
        <v>8332</v>
      </c>
      <c r="C701" s="58" t="n">
        <v>68</v>
      </c>
      <c r="D701" s="90" t="str">
        <f aca="false">SRC_Demand!$O68</f>
        <v>Active</v>
      </c>
      <c r="E701" s="90" t="n">
        <f aca="false">SRC_Demand!$K68</f>
        <v>2</v>
      </c>
      <c r="F701" s="90" t="str">
        <f aca="false">SRC_Demand!$S68</f>
        <v>—</v>
      </c>
    </row>
    <row r="702" customFormat="false" ht="15" hidden="false" customHeight="false" outlineLevel="0" collapsed="false">
      <c r="A702" s="90" t="str">
        <f aca="false">SRC_Demand!$A69&amp;""</f>
        <v>SRC_DEM_065</v>
      </c>
      <c r="B702" s="59" t="s">
        <v>8332</v>
      </c>
      <c r="C702" s="58" t="n">
        <v>69</v>
      </c>
      <c r="D702" s="90" t="str">
        <f aca="false">SRC_Demand!$O69</f>
        <v>Active</v>
      </c>
      <c r="E702" s="90" t="n">
        <f aca="false">SRC_Demand!$K69</f>
        <v>2</v>
      </c>
      <c r="F702" s="90" t="str">
        <f aca="false">SRC_Demand!$S69</f>
        <v>—</v>
      </c>
    </row>
    <row r="703" customFormat="false" ht="15" hidden="false" customHeight="false" outlineLevel="0" collapsed="false">
      <c r="A703" s="90" t="str">
        <f aca="false">SRC_Demand!$A70&amp;""</f>
        <v>SRC_DEM_066</v>
      </c>
      <c r="B703" s="59" t="s">
        <v>8332</v>
      </c>
      <c r="C703" s="58" t="n">
        <v>70</v>
      </c>
      <c r="D703" s="90" t="str">
        <f aca="false">SRC_Demand!$O70</f>
        <v>Active</v>
      </c>
      <c r="E703" s="90" t="n">
        <f aca="false">SRC_Demand!$K70</f>
        <v>1</v>
      </c>
      <c r="F703" s="90" t="str">
        <f aca="false">SRC_Demand!$S70</f>
        <v>—</v>
      </c>
    </row>
    <row r="704" customFormat="false" ht="15" hidden="false" customHeight="false" outlineLevel="0" collapsed="false">
      <c r="A704" s="90" t="str">
        <f aca="false">SRC_Demand!$A71&amp;""</f>
        <v>SRC_DEM_067</v>
      </c>
      <c r="B704" s="59" t="s">
        <v>8332</v>
      </c>
      <c r="C704" s="58" t="n">
        <v>71</v>
      </c>
      <c r="D704" s="90" t="str">
        <f aca="false">SRC_Demand!$O71</f>
        <v>Active</v>
      </c>
      <c r="E704" s="90" t="n">
        <f aca="false">SRC_Demand!$K71</f>
        <v>2</v>
      </c>
      <c r="F704" s="90" t="str">
        <f aca="false">SRC_Demand!$S71</f>
        <v>—</v>
      </c>
    </row>
    <row r="705" customFormat="false" ht="15" hidden="false" customHeight="false" outlineLevel="0" collapsed="false">
      <c r="A705" s="90" t="str">
        <f aca="false">SRC_Demand!$A72&amp;""</f>
        <v>SRC_DEM_068</v>
      </c>
      <c r="B705" s="59" t="s">
        <v>8332</v>
      </c>
      <c r="C705" s="58" t="n">
        <v>72</v>
      </c>
      <c r="D705" s="90" t="str">
        <f aca="false">SRC_Demand!$O72</f>
        <v>Active</v>
      </c>
      <c r="E705" s="90" t="n">
        <f aca="false">SRC_Demand!$K72</f>
        <v>1</v>
      </c>
      <c r="F705" s="90" t="str">
        <f aca="false">SRC_Demand!$S72</f>
        <v>—</v>
      </c>
    </row>
    <row r="706" customFormat="false" ht="15" hidden="false" customHeight="false" outlineLevel="0" collapsed="false">
      <c r="A706" s="90" t="str">
        <f aca="false">SRC_Demand!$A73&amp;""</f>
        <v>SRC_DEM_069</v>
      </c>
      <c r="B706" s="59" t="s">
        <v>8332</v>
      </c>
      <c r="C706" s="58" t="n">
        <v>73</v>
      </c>
      <c r="D706" s="90" t="str">
        <f aca="false">SRC_Demand!$O73</f>
        <v>Active</v>
      </c>
      <c r="E706" s="90" t="n">
        <f aca="false">SRC_Demand!$K73</f>
        <v>2</v>
      </c>
      <c r="F706" s="90" t="str">
        <f aca="false">SRC_Demand!$S73</f>
        <v>—</v>
      </c>
    </row>
    <row r="707" customFormat="false" ht="15" hidden="false" customHeight="false" outlineLevel="0" collapsed="false">
      <c r="A707" s="90" t="str">
        <f aca="false">SRC_Demand!$A74&amp;""</f>
        <v>SRC_DEM_070</v>
      </c>
      <c r="B707" s="59" t="s">
        <v>8332</v>
      </c>
      <c r="C707" s="58" t="n">
        <v>74</v>
      </c>
      <c r="D707" s="90" t="str">
        <f aca="false">SRC_Demand!$O74</f>
        <v>Alt</v>
      </c>
      <c r="E707" s="90" t="n">
        <f aca="false">SRC_Demand!$K74</f>
        <v>3</v>
      </c>
      <c r="F707" s="90" t="str">
        <f aca="false">SRC_Demand!$S74</f>
        <v>—</v>
      </c>
    </row>
    <row r="708" customFormat="false" ht="15" hidden="false" customHeight="false" outlineLevel="0" collapsed="false">
      <c r="A708" s="90" t="str">
        <f aca="false">SRC_Demand!$A75&amp;""</f>
        <v>SRC_DEM_071</v>
      </c>
      <c r="B708" s="59" t="s">
        <v>8332</v>
      </c>
      <c r="C708" s="58" t="n">
        <v>75</v>
      </c>
      <c r="D708" s="90" t="str">
        <f aca="false">SRC_Demand!$O75</f>
        <v>Active</v>
      </c>
      <c r="E708" s="90" t="n">
        <f aca="false">SRC_Demand!$K75</f>
        <v>3</v>
      </c>
      <c r="F708" s="90" t="str">
        <f aca="false">SRC_Demand!$S75</f>
        <v>—</v>
      </c>
    </row>
    <row r="709" customFormat="false" ht="15" hidden="false" customHeight="false" outlineLevel="0" collapsed="false">
      <c r="A709" s="90" t="str">
        <f aca="false">SRC_Demand!$A76&amp;""</f>
        <v>SRC_DEM_072</v>
      </c>
      <c r="B709" s="59" t="s">
        <v>8332</v>
      </c>
      <c r="C709" s="58" t="n">
        <v>76</v>
      </c>
      <c r="D709" s="90" t="str">
        <f aca="false">SRC_Demand!$O76</f>
        <v>Active</v>
      </c>
      <c r="E709" s="90" t="n">
        <f aca="false">SRC_Demand!$K76</f>
        <v>2</v>
      </c>
      <c r="F709" s="90" t="str">
        <f aca="false">SRC_Demand!$S76</f>
        <v>—</v>
      </c>
    </row>
    <row r="710" customFormat="false" ht="15" hidden="false" customHeight="false" outlineLevel="0" collapsed="false">
      <c r="A710" s="90" t="str">
        <f aca="false">SRC_Demand!$A77&amp;""</f>
        <v>SRC_DEM_073</v>
      </c>
      <c r="B710" s="59" t="s">
        <v>8332</v>
      </c>
      <c r="C710" s="58" t="n">
        <v>77</v>
      </c>
      <c r="D710" s="90" t="str">
        <f aca="false">SRC_Demand!$O77</f>
        <v>Active</v>
      </c>
      <c r="E710" s="90" t="n">
        <f aca="false">SRC_Demand!$K77</f>
        <v>2</v>
      </c>
      <c r="F710" s="90" t="str">
        <f aca="false">SRC_Demand!$S77</f>
        <v>—</v>
      </c>
    </row>
    <row r="711" customFormat="false" ht="15" hidden="false" customHeight="false" outlineLevel="0" collapsed="false">
      <c r="A711" s="90" t="str">
        <f aca="false">SRC_Demand!$A78&amp;""</f>
        <v/>
      </c>
      <c r="B711" s="59" t="s">
        <v>8332</v>
      </c>
      <c r="C711" s="58" t="n">
        <v>78</v>
      </c>
      <c r="D711" s="90" t="n">
        <f aca="false">SRC_Demand!$O78</f>
        <v>0</v>
      </c>
      <c r="E711" s="90" t="n">
        <f aca="false">SRC_Demand!$K78</f>
        <v>0</v>
      </c>
      <c r="F711" s="90" t="n">
        <f aca="false">SRC_Demand!$S78</f>
        <v>0</v>
      </c>
    </row>
    <row r="712" customFormat="false" ht="15" hidden="false" customHeight="false" outlineLevel="0" collapsed="false">
      <c r="A712" s="90" t="str">
        <f aca="false">SRC_Demand!$A79&amp;""</f>
        <v/>
      </c>
      <c r="B712" s="59" t="s">
        <v>8332</v>
      </c>
      <c r="C712" s="58" t="n">
        <v>79</v>
      </c>
      <c r="D712" s="90" t="n">
        <f aca="false">SRC_Demand!$O79</f>
        <v>0</v>
      </c>
      <c r="E712" s="90" t="n">
        <f aca="false">SRC_Demand!$K79</f>
        <v>0</v>
      </c>
      <c r="F712" s="90" t="n">
        <f aca="false">SRC_Demand!$S79</f>
        <v>0</v>
      </c>
    </row>
    <row r="713" customFormat="false" ht="15" hidden="false" customHeight="false" outlineLevel="0" collapsed="false">
      <c r="A713" s="90" t="str">
        <f aca="false">SRC_Demand!$A80&amp;""</f>
        <v/>
      </c>
      <c r="B713" s="59" t="s">
        <v>8332</v>
      </c>
      <c r="C713" s="58" t="n">
        <v>80</v>
      </c>
      <c r="D713" s="90" t="n">
        <f aca="false">SRC_Demand!$O80</f>
        <v>0</v>
      </c>
      <c r="E713" s="90" t="n">
        <f aca="false">SRC_Demand!$K80</f>
        <v>0</v>
      </c>
      <c r="F713" s="90" t="n">
        <f aca="false">SRC_Demand!$S80</f>
        <v>0</v>
      </c>
    </row>
    <row r="714" customFormat="false" ht="15" hidden="false" customHeight="false" outlineLevel="0" collapsed="false">
      <c r="A714" s="90" t="str">
        <f aca="false">SRC_Demand!$A81&amp;""</f>
        <v/>
      </c>
      <c r="B714" s="59" t="s">
        <v>8332</v>
      </c>
      <c r="C714" s="58" t="n">
        <v>81</v>
      </c>
      <c r="D714" s="90" t="n">
        <f aca="false">SRC_Demand!$O81</f>
        <v>0</v>
      </c>
      <c r="E714" s="90" t="n">
        <f aca="false">SRC_Demand!$K81</f>
        <v>0</v>
      </c>
      <c r="F714" s="90" t="n">
        <f aca="false">SRC_Demand!$S81</f>
        <v>0</v>
      </c>
    </row>
    <row r="715" customFormat="false" ht="15" hidden="false" customHeight="false" outlineLevel="0" collapsed="false">
      <c r="A715" s="90" t="str">
        <f aca="false">SRC_Demand!$A82&amp;""</f>
        <v/>
      </c>
      <c r="B715" s="59" t="s">
        <v>8332</v>
      </c>
      <c r="C715" s="58" t="n">
        <v>82</v>
      </c>
      <c r="D715" s="90" t="n">
        <f aca="false">SRC_Demand!$O82</f>
        <v>0</v>
      </c>
      <c r="E715" s="90" t="n">
        <f aca="false">SRC_Demand!$K82</f>
        <v>0</v>
      </c>
      <c r="F715" s="90" t="n">
        <f aca="false">SRC_Demand!$S82</f>
        <v>0</v>
      </c>
    </row>
    <row r="716" customFormat="false" ht="15" hidden="false" customHeight="false" outlineLevel="0" collapsed="false">
      <c r="A716" s="90" t="str">
        <f aca="false">SRC_Demand!$A83&amp;""</f>
        <v/>
      </c>
      <c r="B716" s="59" t="s">
        <v>8332</v>
      </c>
      <c r="C716" s="58" t="n">
        <v>83</v>
      </c>
      <c r="D716" s="90" t="n">
        <f aca="false">SRC_Demand!$O83</f>
        <v>0</v>
      </c>
      <c r="E716" s="90" t="n">
        <f aca="false">SRC_Demand!$K83</f>
        <v>0</v>
      </c>
      <c r="F716" s="90" t="n">
        <f aca="false">SRC_Demand!$S83</f>
        <v>0</v>
      </c>
    </row>
    <row r="717" customFormat="false" ht="15" hidden="false" customHeight="false" outlineLevel="0" collapsed="false">
      <c r="A717" s="90" t="str">
        <f aca="false">SRC_Demand!$A84&amp;""</f>
        <v/>
      </c>
      <c r="B717" s="59" t="s">
        <v>8332</v>
      </c>
      <c r="C717" s="58" t="n">
        <v>84</v>
      </c>
      <c r="D717" s="90" t="n">
        <f aca="false">SRC_Demand!$O84</f>
        <v>0</v>
      </c>
      <c r="E717" s="90" t="n">
        <f aca="false">SRC_Demand!$K84</f>
        <v>0</v>
      </c>
      <c r="F717" s="90" t="n">
        <f aca="false">SRC_Demand!$S84</f>
        <v>0</v>
      </c>
    </row>
    <row r="718" customFormat="false" ht="15" hidden="false" customHeight="false" outlineLevel="0" collapsed="false">
      <c r="A718" s="90" t="str">
        <f aca="false">SRC_Demand!$A85&amp;""</f>
        <v/>
      </c>
      <c r="B718" s="59" t="s">
        <v>8332</v>
      </c>
      <c r="C718" s="58" t="n">
        <v>85</v>
      </c>
      <c r="D718" s="90" t="n">
        <f aca="false">SRC_Demand!$O85</f>
        <v>0</v>
      </c>
      <c r="E718" s="90" t="n">
        <f aca="false">SRC_Demand!$K85</f>
        <v>0</v>
      </c>
      <c r="F718" s="90" t="n">
        <f aca="false">SRC_Demand!$S85</f>
        <v>0</v>
      </c>
    </row>
    <row r="719" customFormat="false" ht="15" hidden="false" customHeight="false" outlineLevel="0" collapsed="false">
      <c r="A719" s="90" t="str">
        <f aca="false">SRC_Demand!$A86&amp;""</f>
        <v/>
      </c>
      <c r="B719" s="59" t="s">
        <v>8332</v>
      </c>
      <c r="C719" s="58" t="n">
        <v>86</v>
      </c>
      <c r="D719" s="90" t="n">
        <f aca="false">SRC_Demand!$O86</f>
        <v>0</v>
      </c>
      <c r="E719" s="90" t="n">
        <f aca="false">SRC_Demand!$K86</f>
        <v>0</v>
      </c>
      <c r="F719" s="90" t="n">
        <f aca="false">SRC_Demand!$S86</f>
        <v>0</v>
      </c>
    </row>
    <row r="720" customFormat="false" ht="15" hidden="false" customHeight="false" outlineLevel="0" collapsed="false">
      <c r="A720" s="90" t="str">
        <f aca="false">SRC_Demand!$A87&amp;""</f>
        <v/>
      </c>
      <c r="B720" s="59" t="s">
        <v>8332</v>
      </c>
      <c r="C720" s="58" t="n">
        <v>87</v>
      </c>
      <c r="D720" s="90" t="n">
        <f aca="false">SRC_Demand!$O87</f>
        <v>0</v>
      </c>
      <c r="E720" s="90" t="n">
        <f aca="false">SRC_Demand!$K87</f>
        <v>0</v>
      </c>
      <c r="F720" s="90" t="n">
        <f aca="false">SRC_Demand!$S87</f>
        <v>0</v>
      </c>
    </row>
    <row r="721" customFormat="false" ht="15" hidden="false" customHeight="false" outlineLevel="0" collapsed="false">
      <c r="A721" s="90" t="str">
        <f aca="false">SRC_Demand!$A88&amp;""</f>
        <v/>
      </c>
      <c r="B721" s="59" t="s">
        <v>8332</v>
      </c>
      <c r="C721" s="58" t="n">
        <v>88</v>
      </c>
      <c r="D721" s="90" t="n">
        <f aca="false">SRC_Demand!$O88</f>
        <v>0</v>
      </c>
      <c r="E721" s="90" t="n">
        <f aca="false">SRC_Demand!$K88</f>
        <v>0</v>
      </c>
      <c r="F721" s="90" t="n">
        <f aca="false">SRC_Demand!$S88</f>
        <v>0</v>
      </c>
    </row>
    <row r="722" customFormat="false" ht="15" hidden="false" customHeight="false" outlineLevel="0" collapsed="false">
      <c r="A722" s="90" t="str">
        <f aca="false">SRC_Demand!$A89&amp;""</f>
        <v/>
      </c>
      <c r="B722" s="59" t="s">
        <v>8332</v>
      </c>
      <c r="C722" s="58" t="n">
        <v>89</v>
      </c>
      <c r="D722" s="90" t="n">
        <f aca="false">SRC_Demand!$O89</f>
        <v>0</v>
      </c>
      <c r="E722" s="90" t="n">
        <f aca="false">SRC_Demand!$K89</f>
        <v>0</v>
      </c>
      <c r="F722" s="90" t="n">
        <f aca="false">SRC_Demand!$S89</f>
        <v>0</v>
      </c>
    </row>
    <row r="723" customFormat="false" ht="15" hidden="false" customHeight="false" outlineLevel="0" collapsed="false">
      <c r="A723" s="90" t="str">
        <f aca="false">SRC_Demand!$A90&amp;""</f>
        <v/>
      </c>
      <c r="B723" s="59" t="s">
        <v>8332</v>
      </c>
      <c r="C723" s="58" t="n">
        <v>90</v>
      </c>
      <c r="D723" s="90" t="n">
        <f aca="false">SRC_Demand!$O90</f>
        <v>0</v>
      </c>
      <c r="E723" s="90" t="n">
        <f aca="false">SRC_Demand!$K90</f>
        <v>0</v>
      </c>
      <c r="F723" s="90" t="n">
        <f aca="false">SRC_Demand!$S90</f>
        <v>0</v>
      </c>
    </row>
    <row r="724" customFormat="false" ht="15" hidden="false" customHeight="false" outlineLevel="0" collapsed="false">
      <c r="A724" s="90" t="str">
        <f aca="false">SRC_Demand!$A91&amp;""</f>
        <v/>
      </c>
      <c r="B724" s="59" t="s">
        <v>8332</v>
      </c>
      <c r="C724" s="58" t="n">
        <v>91</v>
      </c>
      <c r="D724" s="90" t="n">
        <f aca="false">SRC_Demand!$O91</f>
        <v>0</v>
      </c>
      <c r="E724" s="90" t="n">
        <f aca="false">SRC_Demand!$K91</f>
        <v>0</v>
      </c>
      <c r="F724" s="90" t="n">
        <f aca="false">SRC_Demand!$S91</f>
        <v>0</v>
      </c>
    </row>
    <row r="725" customFormat="false" ht="15" hidden="false" customHeight="false" outlineLevel="0" collapsed="false">
      <c r="A725" s="90" t="str">
        <f aca="false">SRC_Demand!$A92&amp;""</f>
        <v/>
      </c>
      <c r="B725" s="59" t="s">
        <v>8332</v>
      </c>
      <c r="C725" s="58" t="n">
        <v>92</v>
      </c>
      <c r="D725" s="90" t="n">
        <f aca="false">SRC_Demand!$O92</f>
        <v>0</v>
      </c>
      <c r="E725" s="90" t="n">
        <f aca="false">SRC_Demand!$K92</f>
        <v>0</v>
      </c>
      <c r="F725" s="90" t="n">
        <f aca="false">SRC_Demand!$S92</f>
        <v>0</v>
      </c>
    </row>
    <row r="726" customFormat="false" ht="15" hidden="false" customHeight="false" outlineLevel="0" collapsed="false">
      <c r="A726" s="90" t="str">
        <f aca="false">SRC_Demand!$A93&amp;""</f>
        <v/>
      </c>
      <c r="B726" s="59" t="s">
        <v>8332</v>
      </c>
      <c r="C726" s="58" t="n">
        <v>93</v>
      </c>
      <c r="D726" s="90" t="n">
        <f aca="false">SRC_Demand!$O93</f>
        <v>0</v>
      </c>
      <c r="E726" s="90" t="n">
        <f aca="false">SRC_Demand!$K93</f>
        <v>0</v>
      </c>
      <c r="F726" s="90" t="n">
        <f aca="false">SRC_Demand!$S93</f>
        <v>0</v>
      </c>
    </row>
    <row r="727" customFormat="false" ht="15" hidden="false" customHeight="false" outlineLevel="0" collapsed="false">
      <c r="A727" s="90" t="str">
        <f aca="false">SRC_Demand!$A94&amp;""</f>
        <v/>
      </c>
      <c r="B727" s="59" t="s">
        <v>8332</v>
      </c>
      <c r="C727" s="58" t="n">
        <v>94</v>
      </c>
      <c r="D727" s="90" t="n">
        <f aca="false">SRC_Demand!$O94</f>
        <v>0</v>
      </c>
      <c r="E727" s="90" t="n">
        <f aca="false">SRC_Demand!$K94</f>
        <v>0</v>
      </c>
      <c r="F727" s="90" t="n">
        <f aca="false">SRC_Demand!$S94</f>
        <v>0</v>
      </c>
    </row>
    <row r="728" customFormat="false" ht="15" hidden="false" customHeight="false" outlineLevel="0" collapsed="false">
      <c r="A728" s="90" t="str">
        <f aca="false">SRC_Demand!$A95&amp;""</f>
        <v/>
      </c>
      <c r="B728" s="59" t="s">
        <v>8332</v>
      </c>
      <c r="C728" s="58" t="n">
        <v>95</v>
      </c>
      <c r="D728" s="90" t="n">
        <f aca="false">SRC_Demand!$O95</f>
        <v>0</v>
      </c>
      <c r="E728" s="90" t="n">
        <f aca="false">SRC_Demand!$K95</f>
        <v>0</v>
      </c>
      <c r="F728" s="90" t="n">
        <f aca="false">SRC_Demand!$S95</f>
        <v>0</v>
      </c>
    </row>
    <row r="729" customFormat="false" ht="15" hidden="false" customHeight="false" outlineLevel="0" collapsed="false">
      <c r="A729" s="90" t="str">
        <f aca="false">SRC_Demand!$A96&amp;""</f>
        <v/>
      </c>
      <c r="B729" s="59" t="s">
        <v>8332</v>
      </c>
      <c r="C729" s="58" t="n">
        <v>96</v>
      </c>
      <c r="D729" s="90" t="n">
        <f aca="false">SRC_Demand!$O96</f>
        <v>0</v>
      </c>
      <c r="E729" s="90" t="n">
        <f aca="false">SRC_Demand!$K96</f>
        <v>0</v>
      </c>
      <c r="F729" s="90" t="n">
        <f aca="false">SRC_Demand!$S96</f>
        <v>0</v>
      </c>
    </row>
    <row r="730" customFormat="false" ht="15" hidden="false" customHeight="false" outlineLevel="0" collapsed="false">
      <c r="A730" s="90" t="str">
        <f aca="false">SRC_Demand!$A97&amp;""</f>
        <v/>
      </c>
      <c r="B730" s="59" t="s">
        <v>8332</v>
      </c>
      <c r="C730" s="58" t="n">
        <v>97</v>
      </c>
      <c r="D730" s="90" t="n">
        <f aca="false">SRC_Demand!$O97</f>
        <v>0</v>
      </c>
      <c r="E730" s="90" t="n">
        <f aca="false">SRC_Demand!$K97</f>
        <v>0</v>
      </c>
      <c r="F730" s="90" t="n">
        <f aca="false">SRC_Demand!$S97</f>
        <v>0</v>
      </c>
    </row>
    <row r="731" customFormat="false" ht="15" hidden="false" customHeight="false" outlineLevel="0" collapsed="false">
      <c r="A731" s="90" t="str">
        <f aca="false">SRC_Demand!$A98&amp;""</f>
        <v/>
      </c>
      <c r="B731" s="59" t="s">
        <v>8332</v>
      </c>
      <c r="C731" s="58" t="n">
        <v>98</v>
      </c>
      <c r="D731" s="90" t="n">
        <f aca="false">SRC_Demand!$O98</f>
        <v>0</v>
      </c>
      <c r="E731" s="90" t="n">
        <f aca="false">SRC_Demand!$K98</f>
        <v>0</v>
      </c>
      <c r="F731" s="90" t="n">
        <f aca="false">SRC_Demand!$S98</f>
        <v>0</v>
      </c>
    </row>
    <row r="732" customFormat="false" ht="15" hidden="false" customHeight="false" outlineLevel="0" collapsed="false">
      <c r="A732" s="90" t="str">
        <f aca="false">SRC_Demand!$A99&amp;""</f>
        <v/>
      </c>
      <c r="B732" s="59" t="s">
        <v>8332</v>
      </c>
      <c r="C732" s="58" t="n">
        <v>99</v>
      </c>
      <c r="D732" s="90" t="n">
        <f aca="false">SRC_Demand!$O99</f>
        <v>0</v>
      </c>
      <c r="E732" s="90" t="n">
        <f aca="false">SRC_Demand!$K99</f>
        <v>0</v>
      </c>
      <c r="F732" s="90" t="n">
        <f aca="false">SRC_Demand!$S99</f>
        <v>0</v>
      </c>
    </row>
    <row r="733" customFormat="false" ht="15" hidden="false" customHeight="false" outlineLevel="0" collapsed="false">
      <c r="A733" s="90" t="str">
        <f aca="false">SRC_Demand!$A100&amp;""</f>
        <v/>
      </c>
      <c r="B733" s="59" t="s">
        <v>8332</v>
      </c>
      <c r="C733" s="58" t="n">
        <v>100</v>
      </c>
      <c r="D733" s="90" t="n">
        <f aca="false">SRC_Demand!$O100</f>
        <v>0</v>
      </c>
      <c r="E733" s="90" t="n">
        <f aca="false">SRC_Demand!$K100</f>
        <v>0</v>
      </c>
      <c r="F733" s="90" t="n">
        <f aca="false">SRC_Demand!$S100</f>
        <v>0</v>
      </c>
    </row>
    <row r="734" customFormat="false" ht="15" hidden="false" customHeight="false" outlineLevel="0" collapsed="false">
      <c r="A734" s="90" t="str">
        <f aca="false">SRC_Demand!$A101&amp;""</f>
        <v/>
      </c>
      <c r="B734" s="59" t="s">
        <v>8332</v>
      </c>
      <c r="C734" s="58" t="n">
        <v>101</v>
      </c>
      <c r="D734" s="90" t="n">
        <f aca="false">SRC_Demand!$O101</f>
        <v>0</v>
      </c>
      <c r="E734" s="90" t="n">
        <f aca="false">SRC_Demand!$K101</f>
        <v>0</v>
      </c>
      <c r="F734" s="90" t="n">
        <f aca="false">SRC_Demand!$S101</f>
        <v>0</v>
      </c>
    </row>
    <row r="735" customFormat="false" ht="15" hidden="false" customHeight="false" outlineLevel="0" collapsed="false">
      <c r="A735" s="90" t="str">
        <f aca="false">SRC_Demand!$A102&amp;""</f>
        <v/>
      </c>
      <c r="B735" s="59" t="s">
        <v>8332</v>
      </c>
      <c r="C735" s="58" t="n">
        <v>102</v>
      </c>
      <c r="D735" s="90" t="n">
        <f aca="false">SRC_Demand!$O102</f>
        <v>0</v>
      </c>
      <c r="E735" s="90" t="n">
        <f aca="false">SRC_Demand!$K102</f>
        <v>0</v>
      </c>
      <c r="F735" s="90" t="n">
        <f aca="false">SRC_Demand!$S102</f>
        <v>0</v>
      </c>
    </row>
    <row r="736" customFormat="false" ht="15" hidden="false" customHeight="false" outlineLevel="0" collapsed="false">
      <c r="A736" s="90" t="str">
        <f aca="false">SRC_Demand!$A103&amp;""</f>
        <v/>
      </c>
      <c r="B736" s="59" t="s">
        <v>8332</v>
      </c>
      <c r="C736" s="58" t="n">
        <v>103</v>
      </c>
      <c r="D736" s="90" t="n">
        <f aca="false">SRC_Demand!$O103</f>
        <v>0</v>
      </c>
      <c r="E736" s="90" t="n">
        <f aca="false">SRC_Demand!$K103</f>
        <v>0</v>
      </c>
      <c r="F736" s="90" t="n">
        <f aca="false">SRC_Demand!$S103</f>
        <v>0</v>
      </c>
    </row>
    <row r="737" customFormat="false" ht="15" hidden="false" customHeight="false" outlineLevel="0" collapsed="false">
      <c r="A737" s="90" t="str">
        <f aca="false">SRC_Demand!$A104&amp;""</f>
        <v/>
      </c>
      <c r="B737" s="59" t="s">
        <v>8332</v>
      </c>
      <c r="C737" s="58" t="n">
        <v>104</v>
      </c>
      <c r="D737" s="90" t="n">
        <f aca="false">SRC_Demand!$O104</f>
        <v>0</v>
      </c>
      <c r="E737" s="90" t="n">
        <f aca="false">SRC_Demand!$K104</f>
        <v>0</v>
      </c>
      <c r="F737" s="90" t="n">
        <f aca="false">SRC_Demand!$S104</f>
        <v>0</v>
      </c>
    </row>
    <row r="738" customFormat="false" ht="15" hidden="false" customHeight="false" outlineLevel="0" collapsed="false">
      <c r="A738" s="90" t="str">
        <f aca="false">SRC_Demand!$A105&amp;""</f>
        <v/>
      </c>
      <c r="B738" s="59" t="s">
        <v>8332</v>
      </c>
      <c r="C738" s="58" t="n">
        <v>105</v>
      </c>
      <c r="D738" s="90" t="n">
        <f aca="false">SRC_Demand!$O105</f>
        <v>0</v>
      </c>
      <c r="E738" s="90" t="n">
        <f aca="false">SRC_Demand!$K105</f>
        <v>0</v>
      </c>
      <c r="F738" s="90" t="n">
        <f aca="false">SRC_Demand!$S105</f>
        <v>0</v>
      </c>
    </row>
    <row r="739" customFormat="false" ht="15" hidden="false" customHeight="false" outlineLevel="0" collapsed="false">
      <c r="A739" s="90" t="str">
        <f aca="false">SRC_Demand!$A106&amp;""</f>
        <v/>
      </c>
      <c r="B739" s="59" t="s">
        <v>8332</v>
      </c>
      <c r="C739" s="58" t="n">
        <v>106</v>
      </c>
      <c r="D739" s="90" t="n">
        <f aca="false">SRC_Demand!$O106</f>
        <v>0</v>
      </c>
      <c r="E739" s="90" t="n">
        <f aca="false">SRC_Demand!$K106</f>
        <v>0</v>
      </c>
      <c r="F739" s="90" t="n">
        <f aca="false">SRC_Demand!$S106</f>
        <v>0</v>
      </c>
    </row>
    <row r="740" customFormat="false" ht="15" hidden="false" customHeight="false" outlineLevel="0" collapsed="false">
      <c r="A740" s="90" t="str">
        <f aca="false">SRC_Demand!$A107&amp;""</f>
        <v/>
      </c>
      <c r="B740" s="59" t="s">
        <v>8332</v>
      </c>
      <c r="C740" s="58" t="n">
        <v>107</v>
      </c>
      <c r="D740" s="90" t="n">
        <f aca="false">SRC_Demand!$O107</f>
        <v>0</v>
      </c>
      <c r="E740" s="90" t="n">
        <f aca="false">SRC_Demand!$K107</f>
        <v>0</v>
      </c>
      <c r="F740" s="90" t="n">
        <f aca="false">SRC_Demand!$S107</f>
        <v>0</v>
      </c>
    </row>
    <row r="741" customFormat="false" ht="15" hidden="false" customHeight="false" outlineLevel="0" collapsed="false">
      <c r="A741" s="90" t="str">
        <f aca="false">SRC_Demand!$A108&amp;""</f>
        <v/>
      </c>
      <c r="B741" s="59" t="s">
        <v>8332</v>
      </c>
      <c r="C741" s="58" t="n">
        <v>108</v>
      </c>
      <c r="D741" s="90" t="n">
        <f aca="false">SRC_Demand!$O108</f>
        <v>0</v>
      </c>
      <c r="E741" s="90" t="n">
        <f aca="false">SRC_Demand!$K108</f>
        <v>0</v>
      </c>
      <c r="F741" s="90" t="n">
        <f aca="false">SRC_Demand!$S108</f>
        <v>0</v>
      </c>
    </row>
    <row r="742" customFormat="false" ht="15" hidden="false" customHeight="false" outlineLevel="0" collapsed="false">
      <c r="A742" s="90" t="str">
        <f aca="false">SRC_Demand!$A109&amp;""</f>
        <v/>
      </c>
      <c r="B742" s="59" t="s">
        <v>8332</v>
      </c>
      <c r="C742" s="58" t="n">
        <v>109</v>
      </c>
      <c r="D742" s="90" t="n">
        <f aca="false">SRC_Demand!$O109</f>
        <v>0</v>
      </c>
      <c r="E742" s="90" t="n">
        <f aca="false">SRC_Demand!$K109</f>
        <v>0</v>
      </c>
      <c r="F742" s="90" t="n">
        <f aca="false">SRC_Demand!$S109</f>
        <v>0</v>
      </c>
    </row>
    <row r="743" customFormat="false" ht="15" hidden="false" customHeight="false" outlineLevel="0" collapsed="false">
      <c r="A743" s="90" t="str">
        <f aca="false">SRC_Demand!$A110&amp;""</f>
        <v/>
      </c>
      <c r="B743" s="59" t="s">
        <v>8332</v>
      </c>
      <c r="C743" s="58" t="n">
        <v>110</v>
      </c>
      <c r="D743" s="90" t="n">
        <f aca="false">SRC_Demand!$O110</f>
        <v>0</v>
      </c>
      <c r="E743" s="90" t="n">
        <f aca="false">SRC_Demand!$K110</f>
        <v>0</v>
      </c>
      <c r="F743" s="90" t="n">
        <f aca="false">SRC_Demand!$S110</f>
        <v>0</v>
      </c>
    </row>
    <row r="744" customFormat="false" ht="15" hidden="false" customHeight="false" outlineLevel="0" collapsed="false">
      <c r="A744" s="90" t="str">
        <f aca="false">SRC_Demand!$A111&amp;""</f>
        <v/>
      </c>
      <c r="B744" s="59" t="s">
        <v>8332</v>
      </c>
      <c r="C744" s="58" t="n">
        <v>111</v>
      </c>
      <c r="D744" s="90" t="n">
        <f aca="false">SRC_Demand!$O111</f>
        <v>0</v>
      </c>
      <c r="E744" s="90" t="n">
        <f aca="false">SRC_Demand!$K111</f>
        <v>0</v>
      </c>
      <c r="F744" s="90" t="n">
        <f aca="false">SRC_Demand!$S111</f>
        <v>0</v>
      </c>
    </row>
    <row r="745" customFormat="false" ht="15" hidden="false" customHeight="false" outlineLevel="0" collapsed="false">
      <c r="A745" s="90" t="str">
        <f aca="false">SRC_Demand!$A112&amp;""</f>
        <v/>
      </c>
      <c r="B745" s="59" t="s">
        <v>8332</v>
      </c>
      <c r="C745" s="58" t="n">
        <v>112</v>
      </c>
      <c r="D745" s="90" t="n">
        <f aca="false">SRC_Demand!$O112</f>
        <v>0</v>
      </c>
      <c r="E745" s="90" t="n">
        <f aca="false">SRC_Demand!$K112</f>
        <v>0</v>
      </c>
      <c r="F745" s="90" t="n">
        <f aca="false">SRC_Demand!$S112</f>
        <v>0</v>
      </c>
    </row>
    <row r="746" customFormat="false" ht="15" hidden="false" customHeight="false" outlineLevel="0" collapsed="false">
      <c r="A746" s="90" t="str">
        <f aca="false">SRC_Demand!$A113&amp;""</f>
        <v/>
      </c>
      <c r="B746" s="59" t="s">
        <v>8332</v>
      </c>
      <c r="C746" s="58" t="n">
        <v>113</v>
      </c>
      <c r="D746" s="90" t="n">
        <f aca="false">SRC_Demand!$O113</f>
        <v>0</v>
      </c>
      <c r="E746" s="90" t="n">
        <f aca="false">SRC_Demand!$K113</f>
        <v>0</v>
      </c>
      <c r="F746" s="90" t="n">
        <f aca="false">SRC_Demand!$S113</f>
        <v>0</v>
      </c>
    </row>
    <row r="747" customFormat="false" ht="15" hidden="false" customHeight="false" outlineLevel="0" collapsed="false">
      <c r="A747" s="90" t="str">
        <f aca="false">SRC_Demand!$A114&amp;""</f>
        <v/>
      </c>
      <c r="B747" s="59" t="s">
        <v>8332</v>
      </c>
      <c r="C747" s="58" t="n">
        <v>114</v>
      </c>
      <c r="D747" s="90" t="n">
        <f aca="false">SRC_Demand!$O114</f>
        <v>0</v>
      </c>
      <c r="E747" s="90" t="n">
        <f aca="false">SRC_Demand!$K114</f>
        <v>0</v>
      </c>
      <c r="F747" s="90" t="n">
        <f aca="false">SRC_Demand!$S114</f>
        <v>0</v>
      </c>
    </row>
    <row r="748" customFormat="false" ht="15" hidden="false" customHeight="false" outlineLevel="0" collapsed="false">
      <c r="A748" s="90" t="str">
        <f aca="false">SRC_Demand!$A115&amp;""</f>
        <v/>
      </c>
      <c r="B748" s="59" t="s">
        <v>8332</v>
      </c>
      <c r="C748" s="58" t="n">
        <v>115</v>
      </c>
      <c r="D748" s="90" t="n">
        <f aca="false">SRC_Demand!$O115</f>
        <v>0</v>
      </c>
      <c r="E748" s="90" t="n">
        <f aca="false">SRC_Demand!$K115</f>
        <v>0</v>
      </c>
      <c r="F748" s="90" t="n">
        <f aca="false">SRC_Demand!$S115</f>
        <v>0</v>
      </c>
    </row>
    <row r="749" customFormat="false" ht="15" hidden="false" customHeight="false" outlineLevel="0" collapsed="false">
      <c r="A749" s="90" t="str">
        <f aca="false">SRC_Demand!$A116&amp;""</f>
        <v/>
      </c>
      <c r="B749" s="59" t="s">
        <v>8332</v>
      </c>
      <c r="C749" s="58" t="n">
        <v>116</v>
      </c>
      <c r="D749" s="90" t="n">
        <f aca="false">SRC_Demand!$O116</f>
        <v>0</v>
      </c>
      <c r="E749" s="90" t="n">
        <f aca="false">SRC_Demand!$K116</f>
        <v>0</v>
      </c>
      <c r="F749" s="90" t="n">
        <f aca="false">SRC_Demand!$S116</f>
        <v>0</v>
      </c>
    </row>
    <row r="750" customFormat="false" ht="15" hidden="false" customHeight="false" outlineLevel="0" collapsed="false">
      <c r="A750" s="90" t="str">
        <f aca="false">SRC_Demand!$A117&amp;""</f>
        <v/>
      </c>
      <c r="B750" s="59" t="s">
        <v>8332</v>
      </c>
      <c r="C750" s="58" t="n">
        <v>117</v>
      </c>
      <c r="D750" s="90" t="n">
        <f aca="false">SRC_Demand!$O117</f>
        <v>0</v>
      </c>
      <c r="E750" s="90" t="n">
        <f aca="false">SRC_Demand!$K117</f>
        <v>0</v>
      </c>
      <c r="F750" s="90" t="n">
        <f aca="false">SRC_Demand!$S117</f>
        <v>0</v>
      </c>
    </row>
    <row r="751" customFormat="false" ht="15" hidden="false" customHeight="false" outlineLevel="0" collapsed="false">
      <c r="A751" s="90" t="str">
        <f aca="false">SRC_Demand!$A118&amp;""</f>
        <v/>
      </c>
      <c r="B751" s="59" t="s">
        <v>8332</v>
      </c>
      <c r="C751" s="58" t="n">
        <v>118</v>
      </c>
      <c r="D751" s="90" t="n">
        <f aca="false">SRC_Demand!$O118</f>
        <v>0</v>
      </c>
      <c r="E751" s="90" t="n">
        <f aca="false">SRC_Demand!$K118</f>
        <v>0</v>
      </c>
      <c r="F751" s="90" t="n">
        <f aca="false">SRC_Demand!$S118</f>
        <v>0</v>
      </c>
    </row>
    <row r="752" customFormat="false" ht="15" hidden="false" customHeight="false" outlineLevel="0" collapsed="false">
      <c r="A752" s="90" t="str">
        <f aca="false">SRC_Demand!$A119&amp;""</f>
        <v/>
      </c>
      <c r="B752" s="59" t="s">
        <v>8332</v>
      </c>
      <c r="C752" s="58" t="n">
        <v>119</v>
      </c>
      <c r="D752" s="90" t="n">
        <f aca="false">SRC_Demand!$O119</f>
        <v>0</v>
      </c>
      <c r="E752" s="90" t="n">
        <f aca="false">SRC_Demand!$K119</f>
        <v>0</v>
      </c>
      <c r="F752" s="90" t="n">
        <f aca="false">SRC_Demand!$S119</f>
        <v>0</v>
      </c>
    </row>
    <row r="753" customFormat="false" ht="15" hidden="false" customHeight="false" outlineLevel="0" collapsed="false">
      <c r="A753" s="90" t="str">
        <f aca="false">SRC_Demand!$A120&amp;""</f>
        <v/>
      </c>
      <c r="B753" s="59" t="s">
        <v>8332</v>
      </c>
      <c r="C753" s="58" t="n">
        <v>120</v>
      </c>
      <c r="D753" s="90" t="n">
        <f aca="false">SRC_Demand!$O120</f>
        <v>0</v>
      </c>
      <c r="E753" s="90" t="n">
        <f aca="false">SRC_Demand!$K120</f>
        <v>0</v>
      </c>
      <c r="F753" s="90" t="n">
        <f aca="false">SRC_Demand!$S120</f>
        <v>0</v>
      </c>
    </row>
    <row r="754" customFormat="false" ht="15" hidden="false" customHeight="false" outlineLevel="0" collapsed="false">
      <c r="A754" s="90" t="str">
        <f aca="false">SRC_Demand!$A121&amp;""</f>
        <v/>
      </c>
      <c r="B754" s="59" t="s">
        <v>8332</v>
      </c>
      <c r="C754" s="58" t="n">
        <v>121</v>
      </c>
      <c r="D754" s="90" t="n">
        <f aca="false">SRC_Demand!$O121</f>
        <v>0</v>
      </c>
      <c r="E754" s="90" t="n">
        <f aca="false">SRC_Demand!$K121</f>
        <v>0</v>
      </c>
      <c r="F754" s="90" t="n">
        <f aca="false">SRC_Demand!$S121</f>
        <v>0</v>
      </c>
    </row>
    <row r="755" customFormat="false" ht="15" hidden="false" customHeight="false" outlineLevel="0" collapsed="false">
      <c r="A755" s="90" t="str">
        <f aca="false">SRC_Demand!$A122&amp;""</f>
        <v/>
      </c>
      <c r="B755" s="59" t="s">
        <v>8332</v>
      </c>
      <c r="C755" s="58" t="n">
        <v>122</v>
      </c>
      <c r="D755" s="90" t="n">
        <f aca="false">SRC_Demand!$O122</f>
        <v>0</v>
      </c>
      <c r="E755" s="90" t="n">
        <f aca="false">SRC_Demand!$K122</f>
        <v>0</v>
      </c>
      <c r="F755" s="90" t="n">
        <f aca="false">SRC_Demand!$S122</f>
        <v>0</v>
      </c>
    </row>
    <row r="756" customFormat="false" ht="15" hidden="false" customHeight="false" outlineLevel="0" collapsed="false">
      <c r="A756" s="90" t="str">
        <f aca="false">SRC_Demand!$A123&amp;""</f>
        <v/>
      </c>
      <c r="B756" s="59" t="s">
        <v>8332</v>
      </c>
      <c r="C756" s="58" t="n">
        <v>123</v>
      </c>
      <c r="D756" s="90" t="n">
        <f aca="false">SRC_Demand!$O123</f>
        <v>0</v>
      </c>
      <c r="E756" s="90" t="n">
        <f aca="false">SRC_Demand!$K123</f>
        <v>0</v>
      </c>
      <c r="F756" s="90" t="n">
        <f aca="false">SRC_Demand!$S123</f>
        <v>0</v>
      </c>
    </row>
    <row r="757" customFormat="false" ht="15" hidden="false" customHeight="false" outlineLevel="0" collapsed="false">
      <c r="A757" s="90" t="str">
        <f aca="false">SRC_Demand!$A124&amp;""</f>
        <v/>
      </c>
      <c r="B757" s="59" t="s">
        <v>8332</v>
      </c>
      <c r="C757" s="58" t="n">
        <v>124</v>
      </c>
      <c r="D757" s="90" t="n">
        <f aca="false">SRC_Demand!$O124</f>
        <v>0</v>
      </c>
      <c r="E757" s="90" t="n">
        <f aca="false">SRC_Demand!$K124</f>
        <v>0</v>
      </c>
      <c r="F757" s="90" t="n">
        <f aca="false">SRC_Demand!$S124</f>
        <v>0</v>
      </c>
    </row>
    <row r="758" customFormat="false" ht="15" hidden="false" customHeight="false" outlineLevel="0" collapsed="false">
      <c r="A758" s="90" t="str">
        <f aca="false">SRC_Demand!$A125&amp;""</f>
        <v/>
      </c>
      <c r="B758" s="59" t="s">
        <v>8332</v>
      </c>
      <c r="C758" s="58" t="n">
        <v>125</v>
      </c>
      <c r="D758" s="90" t="n">
        <f aca="false">SRC_Demand!$O125</f>
        <v>0</v>
      </c>
      <c r="E758" s="90" t="n">
        <f aca="false">SRC_Demand!$K125</f>
        <v>0</v>
      </c>
      <c r="F758" s="90" t="n">
        <f aca="false">SRC_Demand!$S125</f>
        <v>0</v>
      </c>
    </row>
    <row r="759" customFormat="false" ht="15" hidden="false" customHeight="false" outlineLevel="0" collapsed="false">
      <c r="A759" s="90" t="str">
        <f aca="false">SRC_Demand!$A126&amp;""</f>
        <v/>
      </c>
      <c r="B759" s="59" t="s">
        <v>8332</v>
      </c>
      <c r="C759" s="58" t="n">
        <v>126</v>
      </c>
      <c r="D759" s="90" t="n">
        <f aca="false">SRC_Demand!$O126</f>
        <v>0</v>
      </c>
      <c r="E759" s="90" t="n">
        <f aca="false">SRC_Demand!$K126</f>
        <v>0</v>
      </c>
      <c r="F759" s="90" t="n">
        <f aca="false">SRC_Demand!$S126</f>
        <v>0</v>
      </c>
    </row>
    <row r="760" customFormat="false" ht="15" hidden="false" customHeight="false" outlineLevel="0" collapsed="false">
      <c r="A760" s="90" t="str">
        <f aca="false">SRC_Demand!$A127&amp;""</f>
        <v/>
      </c>
      <c r="B760" s="59" t="s">
        <v>8332</v>
      </c>
      <c r="C760" s="58" t="n">
        <v>127</v>
      </c>
      <c r="D760" s="90" t="n">
        <f aca="false">SRC_Demand!$O127</f>
        <v>0</v>
      </c>
      <c r="E760" s="90" t="n">
        <f aca="false">SRC_Demand!$K127</f>
        <v>0</v>
      </c>
      <c r="F760" s="90" t="n">
        <f aca="false">SRC_Demand!$S127</f>
        <v>0</v>
      </c>
    </row>
    <row r="761" customFormat="false" ht="15" hidden="false" customHeight="false" outlineLevel="0" collapsed="false">
      <c r="A761" s="90" t="str">
        <f aca="false">Gov_Map!$H5&amp;""</f>
        <v>—</v>
      </c>
      <c r="B761" s="71" t="s">
        <v>8333</v>
      </c>
      <c r="C761" s="58" t="n">
        <v>5</v>
      </c>
      <c r="D761" s="58" t="s">
        <v>8334</v>
      </c>
      <c r="E761" s="58" t="s">
        <v>8334</v>
      </c>
      <c r="F761" s="59" t="s">
        <v>608</v>
      </c>
    </row>
    <row r="762" customFormat="false" ht="15" hidden="false" customHeight="false" outlineLevel="0" collapsed="false">
      <c r="A762" s="90" t="str">
        <f aca="false">Gov_Map!$H6&amp;""</f>
        <v>—</v>
      </c>
      <c r="B762" s="71" t="s">
        <v>8333</v>
      </c>
      <c r="C762" s="58" t="n">
        <v>6</v>
      </c>
      <c r="D762" s="58" t="s">
        <v>8334</v>
      </c>
      <c r="E762" s="58" t="s">
        <v>8334</v>
      </c>
      <c r="F762" s="59" t="s">
        <v>608</v>
      </c>
    </row>
    <row r="763" customFormat="false" ht="15" hidden="false" customHeight="false" outlineLevel="0" collapsed="false">
      <c r="A763" s="90" t="str">
        <f aca="false">Gov_Map!$H7&amp;""</f>
        <v>—</v>
      </c>
      <c r="B763" s="71" t="s">
        <v>8333</v>
      </c>
      <c r="C763" s="58" t="n">
        <v>7</v>
      </c>
      <c r="D763" s="58" t="s">
        <v>8334</v>
      </c>
      <c r="E763" s="58" t="s">
        <v>8334</v>
      </c>
      <c r="F763" s="59" t="s">
        <v>608</v>
      </c>
    </row>
    <row r="764" customFormat="false" ht="15" hidden="false" customHeight="false" outlineLevel="0" collapsed="false">
      <c r="A764" s="90" t="str">
        <f aca="false">Gov_Map!$H8&amp;""</f>
        <v>—</v>
      </c>
      <c r="B764" s="71" t="s">
        <v>8333</v>
      </c>
      <c r="C764" s="58" t="n">
        <v>8</v>
      </c>
      <c r="D764" s="58" t="s">
        <v>8334</v>
      </c>
      <c r="E764" s="58" t="s">
        <v>8334</v>
      </c>
      <c r="F764" s="59" t="s">
        <v>608</v>
      </c>
    </row>
    <row r="765" customFormat="false" ht="15" hidden="false" customHeight="false" outlineLevel="0" collapsed="false">
      <c r="A765" s="90" t="str">
        <f aca="false">Gov_Map!$H9&amp;""</f>
        <v>—</v>
      </c>
      <c r="B765" s="71" t="s">
        <v>8333</v>
      </c>
      <c r="C765" s="58" t="n">
        <v>9</v>
      </c>
      <c r="D765" s="58" t="s">
        <v>8334</v>
      </c>
      <c r="E765" s="58" t="s">
        <v>8334</v>
      </c>
      <c r="F765" s="59" t="s">
        <v>608</v>
      </c>
    </row>
    <row r="766" customFormat="false" ht="15" hidden="false" customHeight="false" outlineLevel="0" collapsed="false">
      <c r="A766" s="90" t="str">
        <f aca="false">Gov_Map!$H10&amp;""</f>
        <v>—</v>
      </c>
      <c r="B766" s="71" t="s">
        <v>8333</v>
      </c>
      <c r="C766" s="58" t="n">
        <v>10</v>
      </c>
      <c r="D766" s="58" t="s">
        <v>8334</v>
      </c>
      <c r="E766" s="58" t="s">
        <v>8334</v>
      </c>
      <c r="F766" s="59" t="s">
        <v>608</v>
      </c>
    </row>
    <row r="767" customFormat="false" ht="15" hidden="false" customHeight="false" outlineLevel="0" collapsed="false">
      <c r="A767" s="90" t="str">
        <f aca="false">Gov_Map!$H11&amp;""</f>
        <v>—</v>
      </c>
      <c r="B767" s="71" t="s">
        <v>8333</v>
      </c>
      <c r="C767" s="58" t="n">
        <v>11</v>
      </c>
      <c r="D767" s="58" t="s">
        <v>8334</v>
      </c>
      <c r="E767" s="58" t="s">
        <v>8334</v>
      </c>
      <c r="F767" s="59" t="s">
        <v>608</v>
      </c>
    </row>
    <row r="768" customFormat="false" ht="15" hidden="false" customHeight="false" outlineLevel="0" collapsed="false">
      <c r="A768" s="90" t="str">
        <f aca="false">Gov_Map!$H12&amp;""</f>
        <v>—</v>
      </c>
      <c r="B768" s="71" t="s">
        <v>8333</v>
      </c>
      <c r="C768" s="58" t="n">
        <v>12</v>
      </c>
      <c r="D768" s="58" t="s">
        <v>8334</v>
      </c>
      <c r="E768" s="58" t="s">
        <v>8334</v>
      </c>
      <c r="F768" s="59" t="s">
        <v>608</v>
      </c>
    </row>
    <row r="769" customFormat="false" ht="15" hidden="false" customHeight="false" outlineLevel="0" collapsed="false">
      <c r="A769" s="90" t="str">
        <f aca="false">Gov_Map!$H13&amp;""</f>
        <v>—</v>
      </c>
      <c r="B769" s="71" t="s">
        <v>8333</v>
      </c>
      <c r="C769" s="58" t="n">
        <v>13</v>
      </c>
      <c r="D769" s="58" t="s">
        <v>8334</v>
      </c>
      <c r="E769" s="58" t="s">
        <v>8334</v>
      </c>
      <c r="F769" s="59" t="s">
        <v>608</v>
      </c>
    </row>
    <row r="770" customFormat="false" ht="15" hidden="false" customHeight="false" outlineLevel="0" collapsed="false">
      <c r="A770" s="90" t="str">
        <f aca="false">Gov_Map!$H14&amp;""</f>
        <v>SRC_DC_006</v>
      </c>
      <c r="B770" s="71" t="s">
        <v>8333</v>
      </c>
      <c r="C770" s="58" t="n">
        <v>14</v>
      </c>
      <c r="D770" s="58" t="s">
        <v>8334</v>
      </c>
      <c r="E770" s="58" t="s">
        <v>8334</v>
      </c>
      <c r="F770" s="59" t="s">
        <v>608</v>
      </c>
    </row>
    <row r="771" customFormat="false" ht="15" hidden="false" customHeight="false" outlineLevel="0" collapsed="false">
      <c r="A771" s="90" t="str">
        <f aca="false">Gov_Map!$H15&amp;""</f>
        <v>SRC_DC_006</v>
      </c>
      <c r="B771" s="71" t="s">
        <v>8333</v>
      </c>
      <c r="C771" s="58" t="n">
        <v>15</v>
      </c>
      <c r="D771" s="58" t="s">
        <v>8334</v>
      </c>
      <c r="E771" s="58" t="s">
        <v>8334</v>
      </c>
      <c r="F771" s="59" t="s">
        <v>608</v>
      </c>
    </row>
    <row r="772" customFormat="false" ht="15" hidden="false" customHeight="false" outlineLevel="0" collapsed="false">
      <c r="A772" s="90" t="str">
        <f aca="false">Gov_Map!$H16&amp;""</f>
        <v>SRC_DC_006</v>
      </c>
      <c r="B772" s="71" t="s">
        <v>8333</v>
      </c>
      <c r="C772" s="58" t="n">
        <v>16</v>
      </c>
      <c r="D772" s="58" t="s">
        <v>8334</v>
      </c>
      <c r="E772" s="58" t="s">
        <v>8334</v>
      </c>
      <c r="F772" s="59" t="s">
        <v>608</v>
      </c>
    </row>
    <row r="773" customFormat="false" ht="15" hidden="false" customHeight="false" outlineLevel="0" collapsed="false">
      <c r="A773" s="90" t="str">
        <f aca="false">Gov_Map!$H17&amp;""</f>
        <v>SRC_DC_001</v>
      </c>
      <c r="B773" s="71" t="s">
        <v>8333</v>
      </c>
      <c r="C773" s="58" t="n">
        <v>17</v>
      </c>
      <c r="D773" s="58" t="s">
        <v>8334</v>
      </c>
      <c r="E773" s="58" t="s">
        <v>8334</v>
      </c>
      <c r="F773" s="59" t="s">
        <v>608</v>
      </c>
    </row>
    <row r="774" customFormat="false" ht="15" hidden="false" customHeight="false" outlineLevel="0" collapsed="false">
      <c r="A774" s="90" t="str">
        <f aca="false">Gov_Map!$H18&amp;""</f>
        <v>SRC_DC_001</v>
      </c>
      <c r="B774" s="71" t="s">
        <v>8333</v>
      </c>
      <c r="C774" s="58" t="n">
        <v>18</v>
      </c>
      <c r="D774" s="58" t="s">
        <v>8334</v>
      </c>
      <c r="E774" s="58" t="s">
        <v>8334</v>
      </c>
      <c r="F774" s="59" t="s">
        <v>608</v>
      </c>
    </row>
    <row r="775" customFormat="false" ht="15" hidden="false" customHeight="false" outlineLevel="0" collapsed="false">
      <c r="A775" s="90" t="str">
        <f aca="false">Gov_Map!$H19&amp;""</f>
        <v>SRC_DC_002</v>
      </c>
      <c r="B775" s="71" t="s">
        <v>8333</v>
      </c>
      <c r="C775" s="58" t="n">
        <v>19</v>
      </c>
      <c r="D775" s="58" t="s">
        <v>8334</v>
      </c>
      <c r="E775" s="58" t="s">
        <v>8334</v>
      </c>
      <c r="F775" s="59" t="s">
        <v>608</v>
      </c>
    </row>
    <row r="776" customFormat="false" ht="15" hidden="false" customHeight="false" outlineLevel="0" collapsed="false">
      <c r="A776" s="90" t="str">
        <f aca="false">Gov_Map!$H20&amp;""</f>
        <v>—</v>
      </c>
      <c r="B776" s="71" t="s">
        <v>8333</v>
      </c>
      <c r="C776" s="58" t="n">
        <v>20</v>
      </c>
      <c r="D776" s="58" t="s">
        <v>8334</v>
      </c>
      <c r="E776" s="58" t="s">
        <v>8334</v>
      </c>
      <c r="F776" s="59" t="s">
        <v>608</v>
      </c>
    </row>
    <row r="777" customFormat="false" ht="15" hidden="false" customHeight="false" outlineLevel="0" collapsed="false">
      <c r="A777" s="90" t="str">
        <f aca="false">Gov_Map!$H21&amp;""</f>
        <v>—</v>
      </c>
      <c r="B777" s="71" t="s">
        <v>8333</v>
      </c>
      <c r="C777" s="58" t="n">
        <v>21</v>
      </c>
      <c r="D777" s="58" t="s">
        <v>8334</v>
      </c>
      <c r="E777" s="58" t="s">
        <v>8334</v>
      </c>
      <c r="F777" s="59" t="s">
        <v>608</v>
      </c>
    </row>
    <row r="778" customFormat="false" ht="15" hidden="false" customHeight="false" outlineLevel="0" collapsed="false">
      <c r="A778" s="90" t="str">
        <f aca="false">Gov_Map!$H22&amp;""</f>
        <v>—</v>
      </c>
      <c r="B778" s="71" t="s">
        <v>8333</v>
      </c>
      <c r="C778" s="58" t="n">
        <v>22</v>
      </c>
      <c r="D778" s="58" t="s">
        <v>8334</v>
      </c>
      <c r="E778" s="58" t="s">
        <v>8334</v>
      </c>
      <c r="F778" s="59" t="s">
        <v>608</v>
      </c>
    </row>
    <row r="779" customFormat="false" ht="15" hidden="false" customHeight="false" outlineLevel="0" collapsed="false">
      <c r="A779" s="90" t="str">
        <f aca="false">Gov_Map!$H23&amp;""</f>
        <v>—</v>
      </c>
      <c r="B779" s="71" t="s">
        <v>8333</v>
      </c>
      <c r="C779" s="58" t="n">
        <v>23</v>
      </c>
      <c r="D779" s="58" t="s">
        <v>8334</v>
      </c>
      <c r="E779" s="58" t="s">
        <v>8334</v>
      </c>
      <c r="F779" s="59" t="s">
        <v>608</v>
      </c>
    </row>
    <row r="780" customFormat="false" ht="15" hidden="false" customHeight="false" outlineLevel="0" collapsed="false">
      <c r="A780" s="90" t="str">
        <f aca="false">Gov_Map!$H24&amp;""</f>
        <v>—</v>
      </c>
      <c r="B780" s="71" t="s">
        <v>8333</v>
      </c>
      <c r="C780" s="58" t="n">
        <v>24</v>
      </c>
      <c r="D780" s="58" t="s">
        <v>8334</v>
      </c>
      <c r="E780" s="58" t="s">
        <v>8334</v>
      </c>
      <c r="F780" s="59" t="s">
        <v>608</v>
      </c>
    </row>
    <row r="781" customFormat="false" ht="15" hidden="false" customHeight="false" outlineLevel="0" collapsed="false">
      <c r="A781" s="90" t="str">
        <f aca="false">Gov_Map!$H25&amp;""</f>
        <v>—</v>
      </c>
      <c r="B781" s="71" t="s">
        <v>8333</v>
      </c>
      <c r="C781" s="58" t="n">
        <v>25</v>
      </c>
      <c r="D781" s="58" t="s">
        <v>8334</v>
      </c>
      <c r="E781" s="58" t="s">
        <v>8334</v>
      </c>
      <c r="F781" s="59" t="s">
        <v>608</v>
      </c>
    </row>
    <row r="782" customFormat="false" ht="15" hidden="false" customHeight="false" outlineLevel="0" collapsed="false">
      <c r="A782" s="90" t="str">
        <f aca="false">Gov_Map!$H26&amp;""</f>
        <v>—</v>
      </c>
      <c r="B782" s="71" t="s">
        <v>8333</v>
      </c>
      <c r="C782" s="58" t="n">
        <v>26</v>
      </c>
      <c r="D782" s="58" t="s">
        <v>8334</v>
      </c>
      <c r="E782" s="58" t="s">
        <v>8334</v>
      </c>
      <c r="F782" s="59" t="s">
        <v>608</v>
      </c>
    </row>
    <row r="783" customFormat="false" ht="15" hidden="false" customHeight="false" outlineLevel="0" collapsed="false">
      <c r="A783" s="90" t="str">
        <f aca="false">Gov_Map!$H27&amp;""</f>
        <v>—</v>
      </c>
      <c r="B783" s="71" t="s">
        <v>8333</v>
      </c>
      <c r="C783" s="58" t="n">
        <v>27</v>
      </c>
      <c r="D783" s="58" t="s">
        <v>8334</v>
      </c>
      <c r="E783" s="58" t="s">
        <v>8334</v>
      </c>
      <c r="F783" s="59" t="s">
        <v>608</v>
      </c>
    </row>
    <row r="784" customFormat="false" ht="15" hidden="false" customHeight="false" outlineLevel="0" collapsed="false">
      <c r="A784" s="90" t="str">
        <f aca="false">Gov_Map!$H28&amp;""</f>
        <v>—</v>
      </c>
      <c r="B784" s="71" t="s">
        <v>8333</v>
      </c>
      <c r="C784" s="58" t="n">
        <v>28</v>
      </c>
      <c r="D784" s="58" t="s">
        <v>8334</v>
      </c>
      <c r="E784" s="58" t="s">
        <v>8334</v>
      </c>
      <c r="F784" s="59" t="s">
        <v>608</v>
      </c>
    </row>
    <row r="785" customFormat="false" ht="15" hidden="false" customHeight="false" outlineLevel="0" collapsed="false">
      <c r="A785" s="90" t="str">
        <f aca="false">Gov_Map!$H29&amp;""</f>
        <v>—</v>
      </c>
      <c r="B785" s="71" t="s">
        <v>8333</v>
      </c>
      <c r="C785" s="58" t="n">
        <v>29</v>
      </c>
      <c r="D785" s="58" t="s">
        <v>8334</v>
      </c>
      <c r="E785" s="58" t="s">
        <v>8334</v>
      </c>
      <c r="F785" s="59" t="s">
        <v>608</v>
      </c>
    </row>
    <row r="786" customFormat="false" ht="15" hidden="false" customHeight="false" outlineLevel="0" collapsed="false">
      <c r="A786" s="90" t="str">
        <f aca="false">Gov_Map!$H30&amp;""</f>
        <v>—</v>
      </c>
      <c r="B786" s="71" t="s">
        <v>8333</v>
      </c>
      <c r="C786" s="58" t="n">
        <v>30</v>
      </c>
      <c r="D786" s="58" t="s">
        <v>8334</v>
      </c>
      <c r="E786" s="58" t="s">
        <v>8334</v>
      </c>
      <c r="F786" s="59" t="s">
        <v>608</v>
      </c>
    </row>
    <row r="787" customFormat="false" ht="15" hidden="false" customHeight="false" outlineLevel="0" collapsed="false">
      <c r="A787" s="90" t="str">
        <f aca="false">Gov_Map!$H31&amp;""</f>
        <v>—</v>
      </c>
      <c r="B787" s="71" t="s">
        <v>8333</v>
      </c>
      <c r="C787" s="58" t="n">
        <v>31</v>
      </c>
      <c r="D787" s="58" t="s">
        <v>8334</v>
      </c>
      <c r="E787" s="58" t="s">
        <v>8334</v>
      </c>
      <c r="F787" s="59" t="s">
        <v>608</v>
      </c>
    </row>
    <row r="788" customFormat="false" ht="15" hidden="false" customHeight="false" outlineLevel="0" collapsed="false">
      <c r="A788" s="90" t="str">
        <f aca="false">Gov_Map!$H32&amp;""</f>
        <v>—</v>
      </c>
      <c r="B788" s="71" t="s">
        <v>8333</v>
      </c>
      <c r="C788" s="58" t="n">
        <v>32</v>
      </c>
      <c r="D788" s="58" t="s">
        <v>8334</v>
      </c>
      <c r="E788" s="58" t="s">
        <v>8334</v>
      </c>
      <c r="F788" s="59" t="s">
        <v>608</v>
      </c>
    </row>
    <row r="789" customFormat="false" ht="15" hidden="false" customHeight="false" outlineLevel="0" collapsed="false">
      <c r="A789" s="90" t="str">
        <f aca="false">Gov_Map!$H33&amp;""</f>
        <v>—</v>
      </c>
      <c r="B789" s="71" t="s">
        <v>8333</v>
      </c>
      <c r="C789" s="58" t="n">
        <v>33</v>
      </c>
      <c r="D789" s="58" t="s">
        <v>8334</v>
      </c>
      <c r="E789" s="58" t="s">
        <v>8334</v>
      </c>
      <c r="F789" s="59" t="s">
        <v>608</v>
      </c>
    </row>
    <row r="790" customFormat="false" ht="15" hidden="false" customHeight="false" outlineLevel="0" collapsed="false">
      <c r="A790" s="90" t="str">
        <f aca="false">Gov_Map!$H34&amp;""</f>
        <v>—</v>
      </c>
      <c r="B790" s="71" t="s">
        <v>8333</v>
      </c>
      <c r="C790" s="58" t="n">
        <v>34</v>
      </c>
      <c r="D790" s="58" t="s">
        <v>8334</v>
      </c>
      <c r="E790" s="58" t="s">
        <v>8334</v>
      </c>
      <c r="F790" s="59" t="s">
        <v>608</v>
      </c>
    </row>
    <row r="791" customFormat="false" ht="15" hidden="false" customHeight="false" outlineLevel="0" collapsed="false">
      <c r="A791" s="90" t="str">
        <f aca="false">Gov_Map!$H35&amp;""</f>
        <v>—</v>
      </c>
      <c r="B791" s="71" t="s">
        <v>8333</v>
      </c>
      <c r="C791" s="58" t="n">
        <v>35</v>
      </c>
      <c r="D791" s="58" t="s">
        <v>8334</v>
      </c>
      <c r="E791" s="58" t="s">
        <v>8334</v>
      </c>
      <c r="F791" s="59" t="s">
        <v>608</v>
      </c>
    </row>
    <row r="792" customFormat="false" ht="15" hidden="false" customHeight="false" outlineLevel="0" collapsed="false">
      <c r="A792" s="90" t="str">
        <f aca="false">Gov_Map!$H36&amp;""</f>
        <v>—</v>
      </c>
      <c r="B792" s="71" t="s">
        <v>8333</v>
      </c>
      <c r="C792" s="58" t="n">
        <v>36</v>
      </c>
      <c r="D792" s="58" t="s">
        <v>8334</v>
      </c>
      <c r="E792" s="58" t="s">
        <v>8334</v>
      </c>
      <c r="F792" s="59" t="s">
        <v>608</v>
      </c>
    </row>
    <row r="793" customFormat="false" ht="15" hidden="false" customHeight="false" outlineLevel="0" collapsed="false">
      <c r="A793" s="90" t="str">
        <f aca="false">Gov_Map!$H37&amp;""</f>
        <v>—</v>
      </c>
      <c r="B793" s="71" t="s">
        <v>8333</v>
      </c>
      <c r="C793" s="58" t="n">
        <v>37</v>
      </c>
      <c r="D793" s="58" t="s">
        <v>8334</v>
      </c>
      <c r="E793" s="58" t="s">
        <v>8334</v>
      </c>
      <c r="F793" s="59" t="s">
        <v>608</v>
      </c>
    </row>
    <row r="794" customFormat="false" ht="15" hidden="false" customHeight="false" outlineLevel="0" collapsed="false">
      <c r="A794" s="90" t="str">
        <f aca="false">Gov_Map!$H38&amp;""</f>
        <v>—</v>
      </c>
      <c r="B794" s="71" t="s">
        <v>8333</v>
      </c>
      <c r="C794" s="58" t="n">
        <v>38</v>
      </c>
      <c r="D794" s="58" t="s">
        <v>8334</v>
      </c>
      <c r="E794" s="58" t="s">
        <v>8334</v>
      </c>
      <c r="F794" s="59" t="s">
        <v>608</v>
      </c>
    </row>
    <row r="795" customFormat="false" ht="15" hidden="false" customHeight="false" outlineLevel="0" collapsed="false">
      <c r="A795" s="90" t="str">
        <f aca="false">Gov_Map!$H39&amp;""</f>
        <v>—</v>
      </c>
      <c r="B795" s="71" t="s">
        <v>8333</v>
      </c>
      <c r="C795" s="58" t="n">
        <v>39</v>
      </c>
      <c r="D795" s="58" t="s">
        <v>8334</v>
      </c>
      <c r="E795" s="58" t="s">
        <v>8334</v>
      </c>
      <c r="F795" s="59" t="s">
        <v>608</v>
      </c>
    </row>
    <row r="796" customFormat="false" ht="15" hidden="false" customHeight="false" outlineLevel="0" collapsed="false">
      <c r="A796" s="90" t="str">
        <f aca="false">Gov_Map!$H40&amp;""</f>
        <v>—</v>
      </c>
      <c r="B796" s="71" t="s">
        <v>8333</v>
      </c>
      <c r="C796" s="58" t="n">
        <v>40</v>
      </c>
      <c r="D796" s="58" t="s">
        <v>8334</v>
      </c>
      <c r="E796" s="58" t="s">
        <v>8334</v>
      </c>
      <c r="F796" s="59" t="s">
        <v>608</v>
      </c>
    </row>
    <row r="797" customFormat="false" ht="15" hidden="false" customHeight="false" outlineLevel="0" collapsed="false">
      <c r="A797" s="90" t="str">
        <f aca="false">Gov_Map!$H41&amp;""</f>
        <v>—</v>
      </c>
      <c r="B797" s="71" t="s">
        <v>8333</v>
      </c>
      <c r="C797" s="58" t="n">
        <v>41</v>
      </c>
      <c r="D797" s="58" t="s">
        <v>8334</v>
      </c>
      <c r="E797" s="58" t="s">
        <v>8334</v>
      </c>
      <c r="F797" s="59" t="s">
        <v>608</v>
      </c>
    </row>
    <row r="798" customFormat="false" ht="15" hidden="false" customHeight="false" outlineLevel="0" collapsed="false">
      <c r="A798" s="90" t="str">
        <f aca="false">Gov_Map!$H42&amp;""</f>
        <v>—</v>
      </c>
      <c r="B798" s="71" t="s">
        <v>8333</v>
      </c>
      <c r="C798" s="58" t="n">
        <v>42</v>
      </c>
      <c r="D798" s="58" t="s">
        <v>8334</v>
      </c>
      <c r="E798" s="58" t="s">
        <v>8334</v>
      </c>
      <c r="F798" s="59" t="s">
        <v>608</v>
      </c>
    </row>
    <row r="799" customFormat="false" ht="15" hidden="false" customHeight="false" outlineLevel="0" collapsed="false">
      <c r="A799" s="90" t="str">
        <f aca="false">Gov_Map!$H43&amp;""</f>
        <v>—</v>
      </c>
      <c r="B799" s="71" t="s">
        <v>8333</v>
      </c>
      <c r="C799" s="58" t="n">
        <v>43</v>
      </c>
      <c r="D799" s="58" t="s">
        <v>8334</v>
      </c>
      <c r="E799" s="58" t="s">
        <v>8334</v>
      </c>
      <c r="F799" s="59" t="s">
        <v>608</v>
      </c>
    </row>
    <row r="800" customFormat="false" ht="15" hidden="false" customHeight="false" outlineLevel="0" collapsed="false">
      <c r="A800" s="90" t="str">
        <f aca="false">Gov_Map!$H44&amp;""</f>
        <v>—</v>
      </c>
      <c r="B800" s="71" t="s">
        <v>8333</v>
      </c>
      <c r="C800" s="58" t="n">
        <v>44</v>
      </c>
      <c r="D800" s="58" t="s">
        <v>8334</v>
      </c>
      <c r="E800" s="58" t="s">
        <v>8334</v>
      </c>
      <c r="F800" s="59" t="s">
        <v>608</v>
      </c>
    </row>
    <row r="801" customFormat="false" ht="15" hidden="false" customHeight="false" outlineLevel="0" collapsed="false">
      <c r="A801" s="90" t="str">
        <f aca="false">Gov_Map!$H45&amp;""</f>
        <v>—</v>
      </c>
      <c r="B801" s="71" t="s">
        <v>8333</v>
      </c>
      <c r="C801" s="58" t="n">
        <v>45</v>
      </c>
      <c r="D801" s="58" t="s">
        <v>8334</v>
      </c>
      <c r="E801" s="58" t="s">
        <v>8334</v>
      </c>
      <c r="F801" s="59" t="s">
        <v>608</v>
      </c>
    </row>
    <row r="802" customFormat="false" ht="15" hidden="false" customHeight="false" outlineLevel="0" collapsed="false">
      <c r="A802" s="90" t="str">
        <f aca="false">Gov_Map!$H46&amp;""</f>
        <v>—</v>
      </c>
      <c r="B802" s="71" t="s">
        <v>8333</v>
      </c>
      <c r="C802" s="58" t="n">
        <v>46</v>
      </c>
      <c r="D802" s="58" t="s">
        <v>8334</v>
      </c>
      <c r="E802" s="58" t="s">
        <v>8334</v>
      </c>
      <c r="F802" s="59" t="s">
        <v>608</v>
      </c>
    </row>
    <row r="803" customFormat="false" ht="15" hidden="false" customHeight="false" outlineLevel="0" collapsed="false">
      <c r="A803" s="90" t="str">
        <f aca="false">Gov_Map!$H47&amp;""</f>
        <v>—</v>
      </c>
      <c r="B803" s="71" t="s">
        <v>8333</v>
      </c>
      <c r="C803" s="58" t="n">
        <v>47</v>
      </c>
      <c r="D803" s="58" t="s">
        <v>8334</v>
      </c>
      <c r="E803" s="58" t="s">
        <v>8334</v>
      </c>
      <c r="F803" s="59" t="s">
        <v>608</v>
      </c>
    </row>
    <row r="804" customFormat="false" ht="15" hidden="false" customHeight="false" outlineLevel="0" collapsed="false">
      <c r="A804" s="90" t="str">
        <f aca="false">Gov_Map!$H48&amp;""</f>
        <v>—</v>
      </c>
      <c r="B804" s="71" t="s">
        <v>8333</v>
      </c>
      <c r="C804" s="58" t="n">
        <v>48</v>
      </c>
      <c r="D804" s="58" t="s">
        <v>8334</v>
      </c>
      <c r="E804" s="58" t="s">
        <v>8334</v>
      </c>
      <c r="F804" s="59" t="s">
        <v>608</v>
      </c>
    </row>
    <row r="805" customFormat="false" ht="15" hidden="false" customHeight="false" outlineLevel="0" collapsed="false">
      <c r="A805" s="90" t="str">
        <f aca="false">Gov_Map!$H49&amp;""</f>
        <v>—</v>
      </c>
      <c r="B805" s="71" t="s">
        <v>8333</v>
      </c>
      <c r="C805" s="58" t="n">
        <v>49</v>
      </c>
      <c r="D805" s="58" t="s">
        <v>8334</v>
      </c>
      <c r="E805" s="58" t="s">
        <v>8334</v>
      </c>
      <c r="F805" s="59" t="s">
        <v>608</v>
      </c>
    </row>
    <row r="806" customFormat="false" ht="15" hidden="false" customHeight="false" outlineLevel="0" collapsed="false">
      <c r="A806" s="90" t="str">
        <f aca="false">Gov_Map!$H50&amp;""</f>
        <v>—</v>
      </c>
      <c r="B806" s="71" t="s">
        <v>8333</v>
      </c>
      <c r="C806" s="58" t="n">
        <v>50</v>
      </c>
      <c r="D806" s="58" t="s">
        <v>8334</v>
      </c>
      <c r="E806" s="58" t="s">
        <v>8334</v>
      </c>
      <c r="F806" s="59" t="s">
        <v>608</v>
      </c>
    </row>
    <row r="807" customFormat="false" ht="15" hidden="false" customHeight="false" outlineLevel="0" collapsed="false">
      <c r="A807" s="90" t="str">
        <f aca="false">Gov_Map!$H51&amp;""</f>
        <v>—</v>
      </c>
      <c r="B807" s="71" t="s">
        <v>8333</v>
      </c>
      <c r="C807" s="58" t="n">
        <v>51</v>
      </c>
      <c r="D807" s="58" t="s">
        <v>8334</v>
      </c>
      <c r="E807" s="58" t="s">
        <v>8334</v>
      </c>
      <c r="F807" s="59" t="s">
        <v>608</v>
      </c>
    </row>
    <row r="808" customFormat="false" ht="15" hidden="false" customHeight="false" outlineLevel="0" collapsed="false">
      <c r="A808" s="90" t="str">
        <f aca="false">Gov_Map!$H52&amp;""</f>
        <v>—</v>
      </c>
      <c r="B808" s="71" t="s">
        <v>8333</v>
      </c>
      <c r="C808" s="58" t="n">
        <v>52</v>
      </c>
      <c r="D808" s="58" t="s">
        <v>8334</v>
      </c>
      <c r="E808" s="58" t="s">
        <v>8334</v>
      </c>
      <c r="F808" s="59" t="s">
        <v>608</v>
      </c>
    </row>
    <row r="809" customFormat="false" ht="15" hidden="false" customHeight="false" outlineLevel="0" collapsed="false">
      <c r="A809" s="90" t="str">
        <f aca="false">Gov_Map!$H53&amp;""</f>
        <v>—</v>
      </c>
      <c r="B809" s="71" t="s">
        <v>8333</v>
      </c>
      <c r="C809" s="58" t="n">
        <v>53</v>
      </c>
      <c r="D809" s="58" t="s">
        <v>8334</v>
      </c>
      <c r="E809" s="58" t="s">
        <v>8334</v>
      </c>
      <c r="F809" s="59" t="s">
        <v>608</v>
      </c>
    </row>
    <row r="810" customFormat="false" ht="15" hidden="false" customHeight="false" outlineLevel="0" collapsed="false">
      <c r="A810" s="90" t="str">
        <f aca="false">Gov_Map!$H54&amp;""</f>
        <v>—</v>
      </c>
      <c r="B810" s="71" t="s">
        <v>8333</v>
      </c>
      <c r="C810" s="58" t="n">
        <v>54</v>
      </c>
      <c r="D810" s="58" t="s">
        <v>8334</v>
      </c>
      <c r="E810" s="58" t="s">
        <v>8334</v>
      </c>
      <c r="F810" s="59" t="s">
        <v>608</v>
      </c>
    </row>
    <row r="811" customFormat="false" ht="15" hidden="false" customHeight="false" outlineLevel="0" collapsed="false">
      <c r="A811" s="90" t="str">
        <f aca="false">Gov_Map!$H55&amp;""</f>
        <v>—</v>
      </c>
      <c r="B811" s="71" t="s">
        <v>8333</v>
      </c>
      <c r="C811" s="58" t="n">
        <v>55</v>
      </c>
      <c r="D811" s="58" t="s">
        <v>8334</v>
      </c>
      <c r="E811" s="58" t="s">
        <v>8334</v>
      </c>
      <c r="F811" s="59" t="s">
        <v>608</v>
      </c>
    </row>
    <row r="812" customFormat="false" ht="15" hidden="false" customHeight="false" outlineLevel="0" collapsed="false">
      <c r="A812" s="90" t="str">
        <f aca="false">Gov_Map!$H56&amp;""</f>
        <v>—</v>
      </c>
      <c r="B812" s="71" t="s">
        <v>8333</v>
      </c>
      <c r="C812" s="58" t="n">
        <v>56</v>
      </c>
      <c r="D812" s="58" t="s">
        <v>8334</v>
      </c>
      <c r="E812" s="58" t="s">
        <v>8334</v>
      </c>
      <c r="F812" s="59" t="s">
        <v>608</v>
      </c>
    </row>
    <row r="813" customFormat="false" ht="15" hidden="false" customHeight="false" outlineLevel="0" collapsed="false">
      <c r="A813" s="90" t="str">
        <f aca="false">Gov_Map!$H57&amp;""</f>
        <v>—</v>
      </c>
      <c r="B813" s="71" t="s">
        <v>8333</v>
      </c>
      <c r="C813" s="58" t="n">
        <v>57</v>
      </c>
      <c r="D813" s="58" t="s">
        <v>8334</v>
      </c>
      <c r="E813" s="58" t="s">
        <v>8334</v>
      </c>
      <c r="F813" s="59" t="s">
        <v>608</v>
      </c>
    </row>
    <row r="814" customFormat="false" ht="15" hidden="false" customHeight="false" outlineLevel="0" collapsed="false">
      <c r="A814" s="90" t="str">
        <f aca="false">Gov_Map!$H58&amp;""</f>
        <v>—</v>
      </c>
      <c r="B814" s="71" t="s">
        <v>8333</v>
      </c>
      <c r="C814" s="58" t="n">
        <v>58</v>
      </c>
      <c r="D814" s="58" t="s">
        <v>8334</v>
      </c>
      <c r="E814" s="58" t="s">
        <v>8334</v>
      </c>
      <c r="F814" s="59" t="s">
        <v>608</v>
      </c>
    </row>
    <row r="815" customFormat="false" ht="15" hidden="false" customHeight="false" outlineLevel="0" collapsed="false">
      <c r="A815" s="90" t="str">
        <f aca="false">Gov_Map!$H59&amp;""</f>
        <v>—</v>
      </c>
      <c r="B815" s="71" t="s">
        <v>8333</v>
      </c>
      <c r="C815" s="58" t="n">
        <v>59</v>
      </c>
      <c r="D815" s="58" t="s">
        <v>8334</v>
      </c>
      <c r="E815" s="58" t="s">
        <v>8334</v>
      </c>
      <c r="F815" s="59" t="s">
        <v>608</v>
      </c>
    </row>
    <row r="816" customFormat="false" ht="15" hidden="false" customHeight="false" outlineLevel="0" collapsed="false">
      <c r="A816" s="90" t="str">
        <f aca="false">Gov_Map!$H60&amp;""</f>
        <v>—</v>
      </c>
      <c r="B816" s="71" t="s">
        <v>8333</v>
      </c>
      <c r="C816" s="58" t="n">
        <v>60</v>
      </c>
      <c r="D816" s="58" t="s">
        <v>8334</v>
      </c>
      <c r="E816" s="58" t="s">
        <v>8334</v>
      </c>
      <c r="F816" s="59" t="s">
        <v>608</v>
      </c>
    </row>
    <row r="817" customFormat="false" ht="15" hidden="false" customHeight="false" outlineLevel="0" collapsed="false">
      <c r="A817" s="90" t="str">
        <f aca="false">Gov_Map!$H61&amp;""</f>
        <v>—</v>
      </c>
      <c r="B817" s="71" t="s">
        <v>8333</v>
      </c>
      <c r="C817" s="58" t="n">
        <v>61</v>
      </c>
      <c r="D817" s="58" t="s">
        <v>8334</v>
      </c>
      <c r="E817" s="58" t="s">
        <v>8334</v>
      </c>
      <c r="F817" s="59" t="s">
        <v>608</v>
      </c>
    </row>
    <row r="818" customFormat="false" ht="15" hidden="false" customHeight="false" outlineLevel="0" collapsed="false">
      <c r="A818" s="90" t="str">
        <f aca="false">Gov_Map!$H62&amp;""</f>
        <v>SRC_DC_007</v>
      </c>
      <c r="B818" s="71" t="s">
        <v>8333</v>
      </c>
      <c r="C818" s="58" t="n">
        <v>62</v>
      </c>
      <c r="D818" s="58" t="s">
        <v>8334</v>
      </c>
      <c r="E818" s="58" t="s">
        <v>8334</v>
      </c>
      <c r="F818" s="59" t="s">
        <v>608</v>
      </c>
    </row>
    <row r="819" customFormat="false" ht="15" hidden="false" customHeight="false" outlineLevel="0" collapsed="false">
      <c r="A819" s="90" t="str">
        <f aca="false">Gov_Map!$H63&amp;""</f>
        <v>SRC_DC_007</v>
      </c>
      <c r="B819" s="71" t="s">
        <v>8333</v>
      </c>
      <c r="C819" s="58" t="n">
        <v>63</v>
      </c>
      <c r="D819" s="58" t="s">
        <v>8334</v>
      </c>
      <c r="E819" s="58" t="s">
        <v>8334</v>
      </c>
      <c r="F819" s="59" t="s">
        <v>608</v>
      </c>
    </row>
    <row r="820" customFormat="false" ht="15" hidden="false" customHeight="false" outlineLevel="0" collapsed="false">
      <c r="A820" s="90" t="str">
        <f aca="false">Gov_Map!$H64&amp;""</f>
        <v>SRC_DC_008</v>
      </c>
      <c r="B820" s="71" t="s">
        <v>8333</v>
      </c>
      <c r="C820" s="58" t="n">
        <v>64</v>
      </c>
      <c r="D820" s="58" t="s">
        <v>8334</v>
      </c>
      <c r="E820" s="58" t="s">
        <v>8334</v>
      </c>
      <c r="F820" s="59" t="s">
        <v>608</v>
      </c>
    </row>
    <row r="821" customFormat="false" ht="15" hidden="false" customHeight="false" outlineLevel="0" collapsed="false">
      <c r="A821" s="90" t="str">
        <f aca="false">Gov_Map!$H65&amp;""</f>
        <v>—</v>
      </c>
      <c r="B821" s="71" t="s">
        <v>8333</v>
      </c>
      <c r="C821" s="58" t="n">
        <v>65</v>
      </c>
      <c r="D821" s="58" t="s">
        <v>8334</v>
      </c>
      <c r="E821" s="58" t="s">
        <v>8334</v>
      </c>
      <c r="F821" s="59" t="s">
        <v>608</v>
      </c>
    </row>
    <row r="822" customFormat="false" ht="15" hidden="false" customHeight="false" outlineLevel="0" collapsed="false">
      <c r="A822" s="90" t="str">
        <f aca="false">Gov_Map!$H66&amp;""</f>
        <v>—</v>
      </c>
      <c r="B822" s="71" t="s">
        <v>8333</v>
      </c>
      <c r="C822" s="58" t="n">
        <v>66</v>
      </c>
      <c r="D822" s="58" t="s">
        <v>8334</v>
      </c>
      <c r="E822" s="58" t="s">
        <v>8334</v>
      </c>
      <c r="F822" s="59" t="s">
        <v>608</v>
      </c>
    </row>
    <row r="823" customFormat="false" ht="15" hidden="false" customHeight="false" outlineLevel="0" collapsed="false">
      <c r="A823" s="90" t="str">
        <f aca="false">Gov_Map!$H67&amp;""</f>
        <v>—</v>
      </c>
      <c r="B823" s="71" t="s">
        <v>8333</v>
      </c>
      <c r="C823" s="58" t="n">
        <v>67</v>
      </c>
      <c r="D823" s="58" t="s">
        <v>8334</v>
      </c>
      <c r="E823" s="58" t="s">
        <v>8334</v>
      </c>
      <c r="F823" s="59" t="s">
        <v>608</v>
      </c>
    </row>
    <row r="824" customFormat="false" ht="15" hidden="false" customHeight="false" outlineLevel="0" collapsed="false">
      <c r="A824" s="90" t="str">
        <f aca="false">Gov_Map!$H68&amp;""</f>
        <v>—</v>
      </c>
      <c r="B824" s="71" t="s">
        <v>8333</v>
      </c>
      <c r="C824" s="58" t="n">
        <v>68</v>
      </c>
      <c r="D824" s="58" t="s">
        <v>8334</v>
      </c>
      <c r="E824" s="58" t="s">
        <v>8334</v>
      </c>
      <c r="F824" s="59" t="s">
        <v>608</v>
      </c>
    </row>
    <row r="825" customFormat="false" ht="15" hidden="false" customHeight="false" outlineLevel="0" collapsed="false">
      <c r="A825" s="90" t="str">
        <f aca="false">Gov_Map!$H69&amp;""</f>
        <v>—</v>
      </c>
      <c r="B825" s="71" t="s">
        <v>8333</v>
      </c>
      <c r="C825" s="58" t="n">
        <v>69</v>
      </c>
      <c r="D825" s="58" t="s">
        <v>8334</v>
      </c>
      <c r="E825" s="58" t="s">
        <v>8334</v>
      </c>
      <c r="F825" s="59" t="s">
        <v>608</v>
      </c>
    </row>
    <row r="826" customFormat="false" ht="15" hidden="false" customHeight="false" outlineLevel="0" collapsed="false">
      <c r="A826" s="90" t="str">
        <f aca="false">Gov_Map!$H70&amp;""</f>
        <v>SRC_HW_047</v>
      </c>
      <c r="B826" s="71" t="s">
        <v>8333</v>
      </c>
      <c r="C826" s="58" t="n">
        <v>70</v>
      </c>
      <c r="D826" s="58" t="s">
        <v>8334</v>
      </c>
      <c r="E826" s="58" t="s">
        <v>8334</v>
      </c>
      <c r="F826" s="59" t="s">
        <v>608</v>
      </c>
    </row>
    <row r="827" customFormat="false" ht="15" hidden="false" customHeight="false" outlineLevel="0" collapsed="false">
      <c r="A827" s="90" t="str">
        <f aca="false">Gov_Map!$H71&amp;""</f>
        <v>SRC_HW_047</v>
      </c>
      <c r="B827" s="71" t="s">
        <v>8333</v>
      </c>
      <c r="C827" s="58" t="n">
        <v>71</v>
      </c>
      <c r="D827" s="58" t="s">
        <v>8334</v>
      </c>
      <c r="E827" s="58" t="s">
        <v>8334</v>
      </c>
      <c r="F827" s="59" t="s">
        <v>608</v>
      </c>
    </row>
    <row r="828" customFormat="false" ht="15" hidden="false" customHeight="false" outlineLevel="0" collapsed="false">
      <c r="A828" s="90" t="str">
        <f aca="false">Gov_Map!$H72&amp;""</f>
        <v>SRC_HW_047</v>
      </c>
      <c r="B828" s="71" t="s">
        <v>8333</v>
      </c>
      <c r="C828" s="58" t="n">
        <v>72</v>
      </c>
      <c r="D828" s="58" t="s">
        <v>8334</v>
      </c>
      <c r="E828" s="58" t="s">
        <v>8334</v>
      </c>
      <c r="F828" s="59" t="s">
        <v>608</v>
      </c>
    </row>
    <row r="829" customFormat="false" ht="15" hidden="false" customHeight="false" outlineLevel="0" collapsed="false">
      <c r="A829" s="90" t="str">
        <f aca="false">Gov_Map!$H73&amp;""</f>
        <v>SRC_HW_061</v>
      </c>
      <c r="B829" s="71" t="s">
        <v>8333</v>
      </c>
      <c r="C829" s="58" t="n">
        <v>73</v>
      </c>
      <c r="D829" s="58" t="s">
        <v>8334</v>
      </c>
      <c r="E829" s="58" t="s">
        <v>8334</v>
      </c>
      <c r="F829" s="59" t="s">
        <v>608</v>
      </c>
    </row>
    <row r="830" customFormat="false" ht="15" hidden="false" customHeight="false" outlineLevel="0" collapsed="false">
      <c r="A830" s="90" t="str">
        <f aca="false">Gov_Map!$H74&amp;""</f>
        <v>—</v>
      </c>
      <c r="B830" s="71" t="s">
        <v>8333</v>
      </c>
      <c r="C830" s="58" t="n">
        <v>74</v>
      </c>
      <c r="D830" s="58" t="s">
        <v>8334</v>
      </c>
      <c r="E830" s="58" t="s">
        <v>8334</v>
      </c>
      <c r="F830" s="59" t="s">
        <v>608</v>
      </c>
    </row>
    <row r="831" customFormat="false" ht="15" hidden="false" customHeight="false" outlineLevel="0" collapsed="false">
      <c r="A831" s="90" t="str">
        <f aca="false">Gov_Map!$H75&amp;""</f>
        <v>SRC_HW_004</v>
      </c>
      <c r="B831" s="71" t="s">
        <v>8333</v>
      </c>
      <c r="C831" s="58" t="n">
        <v>75</v>
      </c>
      <c r="D831" s="58" t="s">
        <v>8334</v>
      </c>
      <c r="E831" s="58" t="s">
        <v>8334</v>
      </c>
      <c r="F831" s="59" t="s">
        <v>608</v>
      </c>
    </row>
    <row r="832" customFormat="false" ht="15" hidden="false" customHeight="false" outlineLevel="0" collapsed="false">
      <c r="A832" s="90" t="str">
        <f aca="false">Gov_Map!$H76&amp;""</f>
        <v>SRC_HW_005</v>
      </c>
      <c r="B832" s="71" t="s">
        <v>8333</v>
      </c>
      <c r="C832" s="58" t="n">
        <v>76</v>
      </c>
      <c r="D832" s="58" t="s">
        <v>8334</v>
      </c>
      <c r="E832" s="58" t="s">
        <v>8334</v>
      </c>
      <c r="F832" s="59" t="s">
        <v>608</v>
      </c>
    </row>
    <row r="833" customFormat="false" ht="15" hidden="false" customHeight="false" outlineLevel="0" collapsed="false">
      <c r="A833" s="90" t="str">
        <f aca="false">Gov_Map!$H77&amp;""</f>
        <v>SRC_HW_011</v>
      </c>
      <c r="B833" s="71" t="s">
        <v>8333</v>
      </c>
      <c r="C833" s="58" t="n">
        <v>77</v>
      </c>
      <c r="D833" s="58" t="s">
        <v>8334</v>
      </c>
      <c r="E833" s="58" t="s">
        <v>8334</v>
      </c>
      <c r="F833" s="59" t="s">
        <v>608</v>
      </c>
    </row>
    <row r="834" customFormat="false" ht="15" hidden="false" customHeight="false" outlineLevel="0" collapsed="false">
      <c r="A834" s="90" t="str">
        <f aca="false">Gov_Map!$H78&amp;""</f>
        <v>—</v>
      </c>
      <c r="B834" s="71" t="s">
        <v>8333</v>
      </c>
      <c r="C834" s="58" t="n">
        <v>78</v>
      </c>
      <c r="D834" s="58" t="s">
        <v>8334</v>
      </c>
      <c r="E834" s="58" t="s">
        <v>8334</v>
      </c>
      <c r="F834" s="59" t="s">
        <v>608</v>
      </c>
    </row>
    <row r="835" customFormat="false" ht="15" hidden="false" customHeight="false" outlineLevel="0" collapsed="false">
      <c r="A835" s="90" t="str">
        <f aca="false">Gov_Map!$H79&amp;""</f>
        <v>SRC_HW_001</v>
      </c>
      <c r="B835" s="71" t="s">
        <v>8333</v>
      </c>
      <c r="C835" s="58" t="n">
        <v>79</v>
      </c>
      <c r="D835" s="58" t="s">
        <v>8334</v>
      </c>
      <c r="E835" s="58" t="s">
        <v>8334</v>
      </c>
      <c r="F835" s="59" t="s">
        <v>608</v>
      </c>
    </row>
    <row r="836" customFormat="false" ht="15" hidden="false" customHeight="false" outlineLevel="0" collapsed="false">
      <c r="A836" s="90" t="str">
        <f aca="false">Gov_Map!$H80&amp;""</f>
        <v>SRC_HW_004</v>
      </c>
      <c r="B836" s="71" t="s">
        <v>8333</v>
      </c>
      <c r="C836" s="58" t="n">
        <v>80</v>
      </c>
      <c r="D836" s="58" t="s">
        <v>8334</v>
      </c>
      <c r="E836" s="58" t="s">
        <v>8334</v>
      </c>
      <c r="F836" s="59" t="s">
        <v>608</v>
      </c>
    </row>
    <row r="837" customFormat="false" ht="15" hidden="false" customHeight="false" outlineLevel="0" collapsed="false">
      <c r="A837" s="90" t="str">
        <f aca="false">Gov_Map!$H81&amp;""</f>
        <v>SRC_HW_005</v>
      </c>
      <c r="B837" s="71" t="s">
        <v>8333</v>
      </c>
      <c r="C837" s="58" t="n">
        <v>81</v>
      </c>
      <c r="D837" s="58" t="s">
        <v>8334</v>
      </c>
      <c r="E837" s="58" t="s">
        <v>8334</v>
      </c>
      <c r="F837" s="59" t="s">
        <v>608</v>
      </c>
    </row>
    <row r="838" customFormat="false" ht="15" hidden="false" customHeight="false" outlineLevel="0" collapsed="false">
      <c r="A838" s="90" t="str">
        <f aca="false">Gov_Map!$H82&amp;""</f>
        <v>SRC_HW_014</v>
      </c>
      <c r="B838" s="71" t="s">
        <v>8333</v>
      </c>
      <c r="C838" s="58" t="n">
        <v>82</v>
      </c>
      <c r="D838" s="58" t="s">
        <v>8334</v>
      </c>
      <c r="E838" s="58" t="s">
        <v>8334</v>
      </c>
      <c r="F838" s="59" t="s">
        <v>608</v>
      </c>
    </row>
    <row r="839" customFormat="false" ht="15" hidden="false" customHeight="false" outlineLevel="0" collapsed="false">
      <c r="A839" s="90" t="str">
        <f aca="false">Gov_Map!$H83&amp;""</f>
        <v>—</v>
      </c>
      <c r="B839" s="71" t="s">
        <v>8333</v>
      </c>
      <c r="C839" s="58" t="n">
        <v>83</v>
      </c>
      <c r="D839" s="58" t="s">
        <v>8334</v>
      </c>
      <c r="E839" s="58" t="s">
        <v>8334</v>
      </c>
      <c r="F839" s="59" t="s">
        <v>608</v>
      </c>
    </row>
    <row r="840" customFormat="false" ht="15" hidden="false" customHeight="false" outlineLevel="0" collapsed="false">
      <c r="A840" s="90" t="str">
        <f aca="false">Gov_Map!$H84&amp;""</f>
        <v>—</v>
      </c>
      <c r="B840" s="71" t="s">
        <v>8333</v>
      </c>
      <c r="C840" s="58" t="n">
        <v>84</v>
      </c>
      <c r="D840" s="58" t="s">
        <v>8334</v>
      </c>
      <c r="E840" s="58" t="s">
        <v>8334</v>
      </c>
      <c r="F840" s="59" t="s">
        <v>608</v>
      </c>
    </row>
    <row r="841" customFormat="false" ht="15" hidden="false" customHeight="false" outlineLevel="0" collapsed="false">
      <c r="A841" s="90" t="str">
        <f aca="false">Gov_Map!$H85&amp;""</f>
        <v>—</v>
      </c>
      <c r="B841" s="71" t="s">
        <v>8333</v>
      </c>
      <c r="C841" s="58" t="n">
        <v>85</v>
      </c>
      <c r="D841" s="58" t="s">
        <v>8334</v>
      </c>
      <c r="E841" s="58" t="s">
        <v>8334</v>
      </c>
      <c r="F841" s="59" t="s">
        <v>608</v>
      </c>
    </row>
    <row r="842" customFormat="false" ht="15" hidden="false" customHeight="false" outlineLevel="0" collapsed="false">
      <c r="A842" s="90" t="str">
        <f aca="false">Gov_Map!$H86&amp;""</f>
        <v>SRC_HW_005</v>
      </c>
      <c r="B842" s="71" t="s">
        <v>8333</v>
      </c>
      <c r="C842" s="58" t="n">
        <v>86</v>
      </c>
      <c r="D842" s="58" t="s">
        <v>8334</v>
      </c>
      <c r="E842" s="58" t="s">
        <v>8334</v>
      </c>
      <c r="F842" s="59" t="s">
        <v>608</v>
      </c>
    </row>
    <row r="843" customFormat="false" ht="15" hidden="false" customHeight="false" outlineLevel="0" collapsed="false">
      <c r="A843" s="90" t="str">
        <f aca="false">Gov_Map!$H87&amp;""</f>
        <v>SRC_HW_012</v>
      </c>
      <c r="B843" s="71" t="s">
        <v>8333</v>
      </c>
      <c r="C843" s="58" t="n">
        <v>87</v>
      </c>
      <c r="D843" s="58" t="s">
        <v>8334</v>
      </c>
      <c r="E843" s="58" t="s">
        <v>8334</v>
      </c>
      <c r="F843" s="59" t="s">
        <v>608</v>
      </c>
    </row>
    <row r="844" customFormat="false" ht="15" hidden="false" customHeight="false" outlineLevel="0" collapsed="false">
      <c r="A844" s="90" t="str">
        <f aca="false">Gov_Map!$H88&amp;""</f>
        <v>—</v>
      </c>
      <c r="B844" s="71" t="s">
        <v>8333</v>
      </c>
      <c r="C844" s="58" t="n">
        <v>88</v>
      </c>
      <c r="D844" s="58" t="s">
        <v>8334</v>
      </c>
      <c r="E844" s="58" t="s">
        <v>8334</v>
      </c>
      <c r="F844" s="59" t="s">
        <v>608</v>
      </c>
    </row>
    <row r="845" customFormat="false" ht="15" hidden="false" customHeight="false" outlineLevel="0" collapsed="false">
      <c r="A845" s="90" t="str">
        <f aca="false">Gov_Map!$H89&amp;""</f>
        <v>SRC_HW_003</v>
      </c>
      <c r="B845" s="71" t="s">
        <v>8333</v>
      </c>
      <c r="C845" s="58" t="n">
        <v>89</v>
      </c>
      <c r="D845" s="58" t="s">
        <v>8334</v>
      </c>
      <c r="E845" s="58" t="s">
        <v>8334</v>
      </c>
      <c r="F845" s="59" t="s">
        <v>608</v>
      </c>
    </row>
    <row r="846" customFormat="false" ht="15" hidden="false" customHeight="false" outlineLevel="0" collapsed="false">
      <c r="A846" s="90" t="str">
        <f aca="false">Gov_Map!$H90&amp;""</f>
        <v>SRC_HW_006</v>
      </c>
      <c r="B846" s="71" t="s">
        <v>8333</v>
      </c>
      <c r="C846" s="58" t="n">
        <v>90</v>
      </c>
      <c r="D846" s="58" t="s">
        <v>8334</v>
      </c>
      <c r="E846" s="58" t="s">
        <v>8334</v>
      </c>
      <c r="F846" s="59" t="s">
        <v>608</v>
      </c>
    </row>
    <row r="847" customFormat="false" ht="15" hidden="false" customHeight="false" outlineLevel="0" collapsed="false">
      <c r="A847" s="90" t="str">
        <f aca="false">Gov_Map!$H91&amp;""</f>
        <v>SRC_HW_052</v>
      </c>
      <c r="B847" s="71" t="s">
        <v>8333</v>
      </c>
      <c r="C847" s="58" t="n">
        <v>91</v>
      </c>
      <c r="D847" s="58" t="s">
        <v>8334</v>
      </c>
      <c r="E847" s="58" t="s">
        <v>8334</v>
      </c>
      <c r="F847" s="59" t="s">
        <v>608</v>
      </c>
    </row>
    <row r="848" customFormat="false" ht="15" hidden="false" customHeight="false" outlineLevel="0" collapsed="false">
      <c r="A848" s="90" t="str">
        <f aca="false">Gov_Map!$H92&amp;""</f>
        <v>SRC_HW_015</v>
      </c>
      <c r="B848" s="71" t="s">
        <v>8333</v>
      </c>
      <c r="C848" s="58" t="n">
        <v>92</v>
      </c>
      <c r="D848" s="58" t="s">
        <v>8334</v>
      </c>
      <c r="E848" s="58" t="s">
        <v>8334</v>
      </c>
      <c r="F848" s="59" t="s">
        <v>608</v>
      </c>
    </row>
    <row r="849" customFormat="false" ht="15" hidden="false" customHeight="false" outlineLevel="0" collapsed="false">
      <c r="A849" s="90" t="str">
        <f aca="false">Gov_Map!$H93&amp;""</f>
        <v>—</v>
      </c>
      <c r="B849" s="71" t="s">
        <v>8333</v>
      </c>
      <c r="C849" s="58" t="n">
        <v>93</v>
      </c>
      <c r="D849" s="58" t="s">
        <v>8334</v>
      </c>
      <c r="E849" s="58" t="s">
        <v>8334</v>
      </c>
      <c r="F849" s="59" t="s">
        <v>608</v>
      </c>
    </row>
    <row r="850" customFormat="false" ht="15" hidden="false" customHeight="false" outlineLevel="0" collapsed="false">
      <c r="A850" s="90" t="str">
        <f aca="false">Gov_Map!$H94&amp;""</f>
        <v>SRC_HW_003</v>
      </c>
      <c r="B850" s="71" t="s">
        <v>8333</v>
      </c>
      <c r="C850" s="58" t="n">
        <v>94</v>
      </c>
      <c r="D850" s="58" t="s">
        <v>8334</v>
      </c>
      <c r="E850" s="58" t="s">
        <v>8334</v>
      </c>
      <c r="F850" s="59" t="s">
        <v>608</v>
      </c>
    </row>
    <row r="851" customFormat="false" ht="15" hidden="false" customHeight="false" outlineLevel="0" collapsed="false">
      <c r="A851" s="90" t="str">
        <f aca="false">Gov_Map!$H95&amp;""</f>
        <v>SRC_HW_006</v>
      </c>
      <c r="B851" s="71" t="s">
        <v>8333</v>
      </c>
      <c r="C851" s="58" t="n">
        <v>95</v>
      </c>
      <c r="D851" s="58" t="s">
        <v>8334</v>
      </c>
      <c r="E851" s="58" t="s">
        <v>8334</v>
      </c>
      <c r="F851" s="59" t="s">
        <v>608</v>
      </c>
    </row>
    <row r="852" customFormat="false" ht="15" hidden="false" customHeight="false" outlineLevel="0" collapsed="false">
      <c r="A852" s="90" t="str">
        <f aca="false">Gov_Map!$H96&amp;""</f>
        <v>SRC_HW_052</v>
      </c>
      <c r="B852" s="71" t="s">
        <v>8333</v>
      </c>
      <c r="C852" s="58" t="n">
        <v>96</v>
      </c>
      <c r="D852" s="58" t="s">
        <v>8334</v>
      </c>
      <c r="E852" s="58" t="s">
        <v>8334</v>
      </c>
      <c r="F852" s="59" t="s">
        <v>608</v>
      </c>
    </row>
    <row r="853" customFormat="false" ht="15" hidden="false" customHeight="false" outlineLevel="0" collapsed="false">
      <c r="A853" s="90" t="str">
        <f aca="false">Gov_Map!$H97&amp;""</f>
        <v>SRC_HW_015</v>
      </c>
      <c r="B853" s="71" t="s">
        <v>8333</v>
      </c>
      <c r="C853" s="58" t="n">
        <v>97</v>
      </c>
      <c r="D853" s="58" t="s">
        <v>8334</v>
      </c>
      <c r="E853" s="58" t="s">
        <v>8334</v>
      </c>
      <c r="F853" s="59" t="s">
        <v>608</v>
      </c>
    </row>
    <row r="854" customFormat="false" ht="15" hidden="false" customHeight="false" outlineLevel="0" collapsed="false">
      <c r="A854" s="90" t="str">
        <f aca="false">Gov_Map!$H98&amp;""</f>
        <v>—</v>
      </c>
      <c r="B854" s="71" t="s">
        <v>8333</v>
      </c>
      <c r="C854" s="58" t="n">
        <v>98</v>
      </c>
      <c r="D854" s="58" t="s">
        <v>8334</v>
      </c>
      <c r="E854" s="58" t="s">
        <v>8334</v>
      </c>
      <c r="F854" s="59" t="s">
        <v>608</v>
      </c>
    </row>
    <row r="855" customFormat="false" ht="15" hidden="false" customHeight="false" outlineLevel="0" collapsed="false">
      <c r="A855" s="90" t="str">
        <f aca="false">Gov_Map!$H99&amp;""</f>
        <v>SRC_HW_003</v>
      </c>
      <c r="B855" s="71" t="s">
        <v>8333</v>
      </c>
      <c r="C855" s="58" t="n">
        <v>99</v>
      </c>
      <c r="D855" s="58" t="s">
        <v>8334</v>
      </c>
      <c r="E855" s="58" t="s">
        <v>8334</v>
      </c>
      <c r="F855" s="59" t="s">
        <v>608</v>
      </c>
    </row>
    <row r="856" customFormat="false" ht="15" hidden="false" customHeight="false" outlineLevel="0" collapsed="false">
      <c r="A856" s="90" t="str">
        <f aca="false">Gov_Map!$H100&amp;""</f>
        <v>SRC_HW_006</v>
      </c>
      <c r="B856" s="71" t="s">
        <v>8333</v>
      </c>
      <c r="C856" s="58" t="n">
        <v>100</v>
      </c>
      <c r="D856" s="58" t="s">
        <v>8334</v>
      </c>
      <c r="E856" s="58" t="s">
        <v>8334</v>
      </c>
      <c r="F856" s="59" t="s">
        <v>608</v>
      </c>
    </row>
    <row r="857" customFormat="false" ht="15" hidden="false" customHeight="false" outlineLevel="0" collapsed="false">
      <c r="A857" s="90" t="str">
        <f aca="false">Gov_Map!$H101&amp;""</f>
        <v>SRC_HW_010</v>
      </c>
      <c r="B857" s="71" t="s">
        <v>8333</v>
      </c>
      <c r="C857" s="58" t="n">
        <v>101</v>
      </c>
      <c r="D857" s="58" t="s">
        <v>8334</v>
      </c>
      <c r="E857" s="58" t="s">
        <v>8334</v>
      </c>
      <c r="F857" s="59" t="s">
        <v>608</v>
      </c>
    </row>
    <row r="858" customFormat="false" ht="15" hidden="false" customHeight="false" outlineLevel="0" collapsed="false">
      <c r="A858" s="90" t="str">
        <f aca="false">Gov_Map!$H102&amp;""</f>
        <v>SRC_HW_017</v>
      </c>
      <c r="B858" s="71" t="s">
        <v>8333</v>
      </c>
      <c r="C858" s="58" t="n">
        <v>102</v>
      </c>
      <c r="D858" s="58" t="s">
        <v>8334</v>
      </c>
      <c r="E858" s="58" t="s">
        <v>8334</v>
      </c>
      <c r="F858" s="59" t="s">
        <v>608</v>
      </c>
    </row>
    <row r="859" customFormat="false" ht="15" hidden="false" customHeight="false" outlineLevel="0" collapsed="false">
      <c r="A859" s="90" t="str">
        <f aca="false">Gov_Map!$H103&amp;""</f>
        <v>—</v>
      </c>
      <c r="B859" s="71" t="s">
        <v>8333</v>
      </c>
      <c r="C859" s="58" t="n">
        <v>103</v>
      </c>
      <c r="D859" s="58" t="s">
        <v>8334</v>
      </c>
      <c r="E859" s="58" t="s">
        <v>8334</v>
      </c>
      <c r="F859" s="59" t="s">
        <v>608</v>
      </c>
    </row>
    <row r="860" customFormat="false" ht="15" hidden="false" customHeight="false" outlineLevel="0" collapsed="false">
      <c r="A860" s="90" t="str">
        <f aca="false">Gov_Map!$H104&amp;""</f>
        <v>SRC_HW_040</v>
      </c>
      <c r="B860" s="71" t="s">
        <v>8333</v>
      </c>
      <c r="C860" s="58" t="n">
        <v>104</v>
      </c>
      <c r="D860" s="58" t="s">
        <v>8334</v>
      </c>
      <c r="E860" s="58" t="s">
        <v>8334</v>
      </c>
      <c r="F860" s="59" t="s">
        <v>608</v>
      </c>
    </row>
    <row r="861" customFormat="false" ht="15" hidden="false" customHeight="false" outlineLevel="0" collapsed="false">
      <c r="A861" s="90" t="str">
        <f aca="false">Gov_Map!$H105&amp;""</f>
        <v>SRC_HW_022</v>
      </c>
      <c r="B861" s="71" t="s">
        <v>8333</v>
      </c>
      <c r="C861" s="58" t="n">
        <v>105</v>
      </c>
      <c r="D861" s="58" t="s">
        <v>8334</v>
      </c>
      <c r="E861" s="58" t="s">
        <v>8334</v>
      </c>
      <c r="F861" s="59" t="s">
        <v>608</v>
      </c>
    </row>
    <row r="862" customFormat="false" ht="15" hidden="false" customHeight="false" outlineLevel="0" collapsed="false">
      <c r="A862" s="90" t="str">
        <f aca="false">Gov_Map!$H106&amp;""</f>
        <v>SRC_HW_025</v>
      </c>
      <c r="B862" s="71" t="s">
        <v>8333</v>
      </c>
      <c r="C862" s="58" t="n">
        <v>106</v>
      </c>
      <c r="D862" s="58" t="s">
        <v>8334</v>
      </c>
      <c r="E862" s="58" t="s">
        <v>8334</v>
      </c>
      <c r="F862" s="59" t="s">
        <v>608</v>
      </c>
    </row>
    <row r="863" customFormat="false" ht="15" hidden="false" customHeight="false" outlineLevel="0" collapsed="false">
      <c r="A863" s="90" t="str">
        <f aca="false">Gov_Map!$H107&amp;""</f>
        <v>SRC_HW_028</v>
      </c>
      <c r="B863" s="71" t="s">
        <v>8333</v>
      </c>
      <c r="C863" s="58" t="n">
        <v>107</v>
      </c>
      <c r="D863" s="58" t="s">
        <v>8334</v>
      </c>
      <c r="E863" s="58" t="s">
        <v>8334</v>
      </c>
      <c r="F863" s="59" t="s">
        <v>608</v>
      </c>
    </row>
    <row r="864" customFormat="false" ht="15" hidden="false" customHeight="false" outlineLevel="0" collapsed="false">
      <c r="A864" s="90" t="str">
        <f aca="false">Gov_Map!$H108&amp;""</f>
        <v>SRC_HW_063</v>
      </c>
      <c r="B864" s="71" t="s">
        <v>8333</v>
      </c>
      <c r="C864" s="58" t="n">
        <v>108</v>
      </c>
      <c r="D864" s="58" t="s">
        <v>8334</v>
      </c>
      <c r="E864" s="58" t="s">
        <v>8334</v>
      </c>
      <c r="F864" s="59" t="s">
        <v>608</v>
      </c>
    </row>
    <row r="865" customFormat="false" ht="15" hidden="false" customHeight="false" outlineLevel="0" collapsed="false">
      <c r="A865" s="90" t="str">
        <f aca="false">Gov_Map!$H109&amp;""</f>
        <v>—</v>
      </c>
      <c r="B865" s="71" t="s">
        <v>8333</v>
      </c>
      <c r="C865" s="58" t="n">
        <v>109</v>
      </c>
      <c r="D865" s="58" t="s">
        <v>8334</v>
      </c>
      <c r="E865" s="58" t="s">
        <v>8334</v>
      </c>
      <c r="F865" s="59" t="s">
        <v>608</v>
      </c>
    </row>
    <row r="866" customFormat="false" ht="15" hidden="false" customHeight="false" outlineLevel="0" collapsed="false">
      <c r="A866" s="90" t="str">
        <f aca="false">Gov_Map!$H110&amp;""</f>
        <v>SRC_HW_022</v>
      </c>
      <c r="B866" s="71" t="s">
        <v>8333</v>
      </c>
      <c r="C866" s="58" t="n">
        <v>110</v>
      </c>
      <c r="D866" s="58" t="s">
        <v>8334</v>
      </c>
      <c r="E866" s="58" t="s">
        <v>8334</v>
      </c>
      <c r="F866" s="59" t="s">
        <v>608</v>
      </c>
    </row>
    <row r="867" customFormat="false" ht="15" hidden="false" customHeight="false" outlineLevel="0" collapsed="false">
      <c r="A867" s="90" t="str">
        <f aca="false">Gov_Map!$H111&amp;""</f>
        <v>SRC_HW_025</v>
      </c>
      <c r="B867" s="71" t="s">
        <v>8333</v>
      </c>
      <c r="C867" s="58" t="n">
        <v>111</v>
      </c>
      <c r="D867" s="58" t="s">
        <v>8334</v>
      </c>
      <c r="E867" s="58" t="s">
        <v>8334</v>
      </c>
      <c r="F867" s="59" t="s">
        <v>608</v>
      </c>
    </row>
    <row r="868" customFormat="false" ht="15" hidden="false" customHeight="false" outlineLevel="0" collapsed="false">
      <c r="A868" s="90" t="str">
        <f aca="false">Gov_Map!$H112&amp;""</f>
        <v>SRC_HW_027</v>
      </c>
      <c r="B868" s="71" t="s">
        <v>8333</v>
      </c>
      <c r="C868" s="58" t="n">
        <v>112</v>
      </c>
      <c r="D868" s="58" t="s">
        <v>8334</v>
      </c>
      <c r="E868" s="58" t="s">
        <v>8334</v>
      </c>
      <c r="F868" s="59" t="s">
        <v>608</v>
      </c>
    </row>
    <row r="869" customFormat="false" ht="15" hidden="false" customHeight="false" outlineLevel="0" collapsed="false">
      <c r="A869" s="90" t="str">
        <f aca="false">Gov_Map!$H113&amp;""</f>
        <v>SRC_HW_063</v>
      </c>
      <c r="B869" s="71" t="s">
        <v>8333</v>
      </c>
      <c r="C869" s="58" t="n">
        <v>113</v>
      </c>
      <c r="D869" s="58" t="s">
        <v>8334</v>
      </c>
      <c r="E869" s="58" t="s">
        <v>8334</v>
      </c>
      <c r="F869" s="59" t="s">
        <v>608</v>
      </c>
    </row>
    <row r="870" customFormat="false" ht="15" hidden="false" customHeight="false" outlineLevel="0" collapsed="false">
      <c r="A870" s="90" t="str">
        <f aca="false">Gov_Map!$H114&amp;""</f>
        <v>SRC_HW_020</v>
      </c>
      <c r="B870" s="71" t="s">
        <v>8333</v>
      </c>
      <c r="C870" s="58" t="n">
        <v>114</v>
      </c>
      <c r="D870" s="58" t="s">
        <v>8334</v>
      </c>
      <c r="E870" s="58" t="s">
        <v>8334</v>
      </c>
      <c r="F870" s="59" t="s">
        <v>608</v>
      </c>
    </row>
    <row r="871" customFormat="false" ht="15" hidden="false" customHeight="false" outlineLevel="0" collapsed="false">
      <c r="A871" s="90" t="str">
        <f aca="false">Gov_Map!$H115&amp;""</f>
        <v>SRC_HW_041</v>
      </c>
      <c r="B871" s="71" t="s">
        <v>8333</v>
      </c>
      <c r="C871" s="58" t="n">
        <v>115</v>
      </c>
      <c r="D871" s="58" t="s">
        <v>8334</v>
      </c>
      <c r="E871" s="58" t="s">
        <v>8334</v>
      </c>
      <c r="F871" s="59" t="s">
        <v>608</v>
      </c>
    </row>
    <row r="872" customFormat="false" ht="15" hidden="false" customHeight="false" outlineLevel="0" collapsed="false">
      <c r="A872" s="90" t="str">
        <f aca="false">Gov_Map!$H116&amp;""</f>
        <v>SRC_HW_026</v>
      </c>
      <c r="B872" s="71" t="s">
        <v>8333</v>
      </c>
      <c r="C872" s="58" t="n">
        <v>116</v>
      </c>
      <c r="D872" s="58" t="s">
        <v>8334</v>
      </c>
      <c r="E872" s="58" t="s">
        <v>8334</v>
      </c>
      <c r="F872" s="59" t="s">
        <v>608</v>
      </c>
    </row>
    <row r="873" customFormat="false" ht="15" hidden="false" customHeight="false" outlineLevel="0" collapsed="false">
      <c r="A873" s="90" t="str">
        <f aca="false">Gov_Map!$H117&amp;""</f>
        <v>SRC_HW_029</v>
      </c>
      <c r="B873" s="71" t="s">
        <v>8333</v>
      </c>
      <c r="C873" s="58" t="n">
        <v>117</v>
      </c>
      <c r="D873" s="58" t="s">
        <v>8334</v>
      </c>
      <c r="E873" s="58" t="s">
        <v>8334</v>
      </c>
      <c r="F873" s="59" t="s">
        <v>608</v>
      </c>
    </row>
    <row r="874" customFormat="false" ht="15" hidden="false" customHeight="false" outlineLevel="0" collapsed="false">
      <c r="A874" s="90" t="str">
        <f aca="false">Gov_Map!$H118&amp;""</f>
        <v>—</v>
      </c>
      <c r="B874" s="71" t="s">
        <v>8333</v>
      </c>
      <c r="C874" s="58" t="n">
        <v>118</v>
      </c>
      <c r="D874" s="58" t="s">
        <v>8334</v>
      </c>
      <c r="E874" s="58" t="s">
        <v>8334</v>
      </c>
      <c r="F874" s="59" t="s">
        <v>608</v>
      </c>
    </row>
    <row r="875" customFormat="false" ht="15" hidden="false" customHeight="false" outlineLevel="0" collapsed="false">
      <c r="A875" s="90" t="str">
        <f aca="false">Gov_Map!$H119&amp;""</f>
        <v>SRC_HW_021</v>
      </c>
      <c r="B875" s="71" t="s">
        <v>8333</v>
      </c>
      <c r="C875" s="58" t="n">
        <v>119</v>
      </c>
      <c r="D875" s="58" t="s">
        <v>8334</v>
      </c>
      <c r="E875" s="58" t="s">
        <v>8334</v>
      </c>
      <c r="F875" s="59" t="s">
        <v>608</v>
      </c>
    </row>
    <row r="876" customFormat="false" ht="15" hidden="false" customHeight="false" outlineLevel="0" collapsed="false">
      <c r="A876" s="90" t="str">
        <f aca="false">Gov_Map!$H120&amp;""</f>
        <v>SRC_HW_023</v>
      </c>
      <c r="B876" s="71" t="s">
        <v>8333</v>
      </c>
      <c r="C876" s="58" t="n">
        <v>120</v>
      </c>
      <c r="D876" s="58" t="s">
        <v>8334</v>
      </c>
      <c r="E876" s="58" t="s">
        <v>8334</v>
      </c>
      <c r="F876" s="59" t="s">
        <v>608</v>
      </c>
    </row>
    <row r="877" customFormat="false" ht="15" hidden="false" customHeight="false" outlineLevel="0" collapsed="false">
      <c r="A877" s="90" t="str">
        <f aca="false">Gov_Map!$H121&amp;""</f>
        <v>SRC_HW_059</v>
      </c>
      <c r="B877" s="71" t="s">
        <v>8333</v>
      </c>
      <c r="C877" s="58" t="n">
        <v>121</v>
      </c>
      <c r="D877" s="58" t="s">
        <v>8334</v>
      </c>
      <c r="E877" s="58" t="s">
        <v>8334</v>
      </c>
      <c r="F877" s="59" t="s">
        <v>608</v>
      </c>
    </row>
    <row r="878" customFormat="false" ht="15" hidden="false" customHeight="false" outlineLevel="0" collapsed="false">
      <c r="A878" s="90" t="str">
        <f aca="false">Gov_Map!$H122&amp;""</f>
        <v>SRC_HW_030</v>
      </c>
      <c r="B878" s="71" t="s">
        <v>8333</v>
      </c>
      <c r="C878" s="58" t="n">
        <v>122</v>
      </c>
      <c r="D878" s="58" t="s">
        <v>8334</v>
      </c>
      <c r="E878" s="58" t="s">
        <v>8334</v>
      </c>
      <c r="F878" s="59" t="s">
        <v>608</v>
      </c>
    </row>
    <row r="879" customFormat="false" ht="15" hidden="false" customHeight="false" outlineLevel="0" collapsed="false">
      <c r="A879" s="90" t="str">
        <f aca="false">Gov_Map!$H123&amp;""</f>
        <v>SRC_HW_044</v>
      </c>
      <c r="B879" s="71" t="s">
        <v>8333</v>
      </c>
      <c r="C879" s="58" t="n">
        <v>123</v>
      </c>
      <c r="D879" s="58" t="s">
        <v>8334</v>
      </c>
      <c r="E879" s="58" t="s">
        <v>8334</v>
      </c>
      <c r="F879" s="59" t="s">
        <v>608</v>
      </c>
    </row>
    <row r="880" customFormat="false" ht="15" hidden="false" customHeight="false" outlineLevel="0" collapsed="false">
      <c r="A880" s="90" t="str">
        <f aca="false">Gov_Map!$H124&amp;""</f>
        <v>SRC_HW_060</v>
      </c>
      <c r="B880" s="71" t="s">
        <v>8333</v>
      </c>
      <c r="C880" s="58" t="n">
        <v>124</v>
      </c>
      <c r="D880" s="58" t="s">
        <v>8334</v>
      </c>
      <c r="E880" s="58" t="s">
        <v>8334</v>
      </c>
      <c r="F880" s="59" t="s">
        <v>608</v>
      </c>
    </row>
    <row r="881" customFormat="false" ht="15" hidden="false" customHeight="false" outlineLevel="0" collapsed="false">
      <c r="A881" s="90" t="str">
        <f aca="false">Gov_Map!$H125&amp;""</f>
        <v>SRC_HW_048</v>
      </c>
      <c r="B881" s="71" t="s">
        <v>8333</v>
      </c>
      <c r="C881" s="58" t="n">
        <v>125</v>
      </c>
      <c r="D881" s="58" t="s">
        <v>8334</v>
      </c>
      <c r="E881" s="58" t="s">
        <v>8334</v>
      </c>
      <c r="F881" s="59" t="s">
        <v>608</v>
      </c>
    </row>
    <row r="882" customFormat="false" ht="15" hidden="false" customHeight="false" outlineLevel="0" collapsed="false">
      <c r="A882" s="90" t="str">
        <f aca="false">Gov_Map!$H126&amp;""</f>
        <v>SRC_HW_048</v>
      </c>
      <c r="B882" s="71" t="s">
        <v>8333</v>
      </c>
      <c r="C882" s="58" t="n">
        <v>126</v>
      </c>
      <c r="D882" s="58" t="s">
        <v>8334</v>
      </c>
      <c r="E882" s="58" t="s">
        <v>8334</v>
      </c>
      <c r="F882" s="59" t="s">
        <v>608</v>
      </c>
    </row>
    <row r="883" customFormat="false" ht="15" hidden="false" customHeight="false" outlineLevel="0" collapsed="false">
      <c r="A883" s="90" t="str">
        <f aca="false">Gov_Map!$H127&amp;""</f>
        <v>SRC_HW_049</v>
      </c>
      <c r="B883" s="71" t="s">
        <v>8333</v>
      </c>
      <c r="C883" s="58" t="n">
        <v>127</v>
      </c>
      <c r="D883" s="58" t="s">
        <v>8334</v>
      </c>
      <c r="E883" s="58" t="s">
        <v>8334</v>
      </c>
      <c r="F883" s="59" t="s">
        <v>608</v>
      </c>
    </row>
    <row r="884" customFormat="false" ht="15" hidden="false" customHeight="false" outlineLevel="0" collapsed="false">
      <c r="A884" s="90" t="str">
        <f aca="false">Gov_Map!$H128&amp;""</f>
        <v>—</v>
      </c>
      <c r="B884" s="71" t="s">
        <v>8333</v>
      </c>
      <c r="C884" s="58" t="n">
        <v>128</v>
      </c>
      <c r="D884" s="58" t="s">
        <v>8334</v>
      </c>
      <c r="E884" s="58" t="s">
        <v>8334</v>
      </c>
      <c r="F884" s="59" t="s">
        <v>608</v>
      </c>
    </row>
    <row r="885" customFormat="false" ht="15" hidden="false" customHeight="false" outlineLevel="0" collapsed="false">
      <c r="A885" s="90" t="str">
        <f aca="false">Gov_Map!$H129&amp;""</f>
        <v>SRC_HW_053</v>
      </c>
      <c r="B885" s="71" t="s">
        <v>8333</v>
      </c>
      <c r="C885" s="58" t="n">
        <v>129</v>
      </c>
      <c r="D885" s="58" t="s">
        <v>8334</v>
      </c>
      <c r="E885" s="58" t="s">
        <v>8334</v>
      </c>
      <c r="F885" s="59" t="s">
        <v>608</v>
      </c>
    </row>
    <row r="886" customFormat="false" ht="15" hidden="false" customHeight="false" outlineLevel="0" collapsed="false">
      <c r="A886" s="90" t="str">
        <f aca="false">Gov_Map!$H130&amp;""</f>
        <v>SRC_HW_047</v>
      </c>
      <c r="B886" s="71" t="s">
        <v>8333</v>
      </c>
      <c r="C886" s="58" t="n">
        <v>130</v>
      </c>
      <c r="D886" s="58" t="s">
        <v>8334</v>
      </c>
      <c r="E886" s="58" t="s">
        <v>8334</v>
      </c>
      <c r="F886" s="59" t="s">
        <v>608</v>
      </c>
    </row>
    <row r="887" customFormat="false" ht="15" hidden="false" customHeight="false" outlineLevel="0" collapsed="false">
      <c r="A887" s="90" t="str">
        <f aca="false">Gov_Map!$H131&amp;""</f>
        <v>SRC_HW_047</v>
      </c>
      <c r="B887" s="71" t="s">
        <v>8333</v>
      </c>
      <c r="C887" s="58" t="n">
        <v>131</v>
      </c>
      <c r="D887" s="58" t="s">
        <v>8334</v>
      </c>
      <c r="E887" s="58" t="s">
        <v>8334</v>
      </c>
      <c r="F887" s="59" t="s">
        <v>608</v>
      </c>
    </row>
    <row r="888" customFormat="false" ht="15" hidden="false" customHeight="false" outlineLevel="0" collapsed="false">
      <c r="A888" s="90" t="str">
        <f aca="false">Gov_Map!$H132&amp;""</f>
        <v>SRC_HW_047</v>
      </c>
      <c r="B888" s="71" t="s">
        <v>8333</v>
      </c>
      <c r="C888" s="58" t="n">
        <v>132</v>
      </c>
      <c r="D888" s="58" t="s">
        <v>8334</v>
      </c>
      <c r="E888" s="58" t="s">
        <v>8334</v>
      </c>
      <c r="F888" s="59" t="s">
        <v>608</v>
      </c>
    </row>
    <row r="889" customFormat="false" ht="15" hidden="false" customHeight="false" outlineLevel="0" collapsed="false">
      <c r="A889" s="90" t="str">
        <f aca="false">Gov_Map!$H133&amp;""</f>
        <v>SRC_HW_062</v>
      </c>
      <c r="B889" s="71" t="s">
        <v>8333</v>
      </c>
      <c r="C889" s="58" t="n">
        <v>133</v>
      </c>
      <c r="D889" s="58" t="s">
        <v>8334</v>
      </c>
      <c r="E889" s="58" t="s">
        <v>8334</v>
      </c>
      <c r="F889" s="59" t="s">
        <v>608</v>
      </c>
    </row>
    <row r="890" customFormat="false" ht="15" hidden="false" customHeight="false" outlineLevel="0" collapsed="false">
      <c r="A890" s="90" t="str">
        <f aca="false">Gov_Map!$H134&amp;""</f>
        <v>SRC_PERF_051</v>
      </c>
      <c r="B890" s="71" t="s">
        <v>8333</v>
      </c>
      <c r="C890" s="58" t="n">
        <v>134</v>
      </c>
      <c r="D890" s="58" t="s">
        <v>8334</v>
      </c>
      <c r="E890" s="58" t="s">
        <v>8334</v>
      </c>
      <c r="F890" s="59" t="s">
        <v>608</v>
      </c>
    </row>
    <row r="891" customFormat="false" ht="15" hidden="false" customHeight="false" outlineLevel="0" collapsed="false">
      <c r="A891" s="90" t="str">
        <f aca="false">Gov_Map!$H135&amp;""</f>
        <v>SRC_PERF_008</v>
      </c>
      <c r="B891" s="71" t="s">
        <v>8333</v>
      </c>
      <c r="C891" s="58" t="n">
        <v>135</v>
      </c>
      <c r="D891" s="58" t="s">
        <v>8334</v>
      </c>
      <c r="E891" s="58" t="s">
        <v>8334</v>
      </c>
      <c r="F891" s="59" t="s">
        <v>608</v>
      </c>
    </row>
    <row r="892" customFormat="false" ht="15" hidden="false" customHeight="false" outlineLevel="0" collapsed="false">
      <c r="A892" s="90" t="str">
        <f aca="false">Gov_Map!$H136&amp;""</f>
        <v>SRC_PERF_008</v>
      </c>
      <c r="B892" s="71" t="s">
        <v>8333</v>
      </c>
      <c r="C892" s="58" t="n">
        <v>136</v>
      </c>
      <c r="D892" s="58" t="s">
        <v>8334</v>
      </c>
      <c r="E892" s="58" t="s">
        <v>8334</v>
      </c>
      <c r="F892" s="59" t="s">
        <v>608</v>
      </c>
    </row>
    <row r="893" customFormat="false" ht="15" hidden="false" customHeight="false" outlineLevel="0" collapsed="false">
      <c r="A893" s="90" t="str">
        <f aca="false">Gov_Map!$H137&amp;""</f>
        <v>SRC_PERF_008</v>
      </c>
      <c r="B893" s="71" t="s">
        <v>8333</v>
      </c>
      <c r="C893" s="58" t="n">
        <v>137</v>
      </c>
      <c r="D893" s="58" t="s">
        <v>8334</v>
      </c>
      <c r="E893" s="58" t="s">
        <v>8334</v>
      </c>
      <c r="F893" s="59" t="s">
        <v>608</v>
      </c>
    </row>
    <row r="894" customFormat="false" ht="15" hidden="false" customHeight="false" outlineLevel="0" collapsed="false">
      <c r="A894" s="90" t="str">
        <f aca="false">Gov_Map!$H138&amp;""</f>
        <v>—</v>
      </c>
      <c r="B894" s="71" t="s">
        <v>8333</v>
      </c>
      <c r="C894" s="58" t="n">
        <v>138</v>
      </c>
      <c r="D894" s="58" t="s">
        <v>8334</v>
      </c>
      <c r="E894" s="58" t="s">
        <v>8334</v>
      </c>
      <c r="F894" s="59" t="s">
        <v>608</v>
      </c>
    </row>
    <row r="895" customFormat="false" ht="15" hidden="false" customHeight="false" outlineLevel="0" collapsed="false">
      <c r="A895" s="90" t="str">
        <f aca="false">Gov_Map!$H139&amp;""</f>
        <v>SRC_HW_055</v>
      </c>
      <c r="B895" s="71" t="s">
        <v>8333</v>
      </c>
      <c r="C895" s="58" t="n">
        <v>139</v>
      </c>
      <c r="D895" s="58" t="s">
        <v>8334</v>
      </c>
      <c r="E895" s="58" t="s">
        <v>8334</v>
      </c>
      <c r="F895" s="59" t="s">
        <v>608</v>
      </c>
    </row>
    <row r="896" customFormat="false" ht="15" hidden="false" customHeight="false" outlineLevel="0" collapsed="false">
      <c r="A896" s="90" t="str">
        <f aca="false">Gov_Map!$H140&amp;""</f>
        <v>SRC_HW_050</v>
      </c>
      <c r="B896" s="71" t="s">
        <v>8333</v>
      </c>
      <c r="C896" s="58" t="n">
        <v>140</v>
      </c>
      <c r="D896" s="58" t="s">
        <v>8334</v>
      </c>
      <c r="E896" s="58" t="s">
        <v>8334</v>
      </c>
      <c r="F896" s="59" t="s">
        <v>608</v>
      </c>
    </row>
    <row r="897" customFormat="false" ht="15" hidden="false" customHeight="false" outlineLevel="0" collapsed="false">
      <c r="A897" s="90" t="str">
        <f aca="false">Gov_Map!$H141&amp;""</f>
        <v>SRC_HW_050</v>
      </c>
      <c r="B897" s="71" t="s">
        <v>8333</v>
      </c>
      <c r="C897" s="58" t="n">
        <v>141</v>
      </c>
      <c r="D897" s="58" t="s">
        <v>8334</v>
      </c>
      <c r="E897" s="58" t="s">
        <v>8334</v>
      </c>
      <c r="F897" s="59" t="s">
        <v>608</v>
      </c>
    </row>
    <row r="898" customFormat="false" ht="15" hidden="false" customHeight="false" outlineLevel="0" collapsed="false">
      <c r="A898" s="90" t="str">
        <f aca="false">Gov_Map!$H142&amp;""</f>
        <v>SRC_HW_050</v>
      </c>
      <c r="B898" s="71" t="s">
        <v>8333</v>
      </c>
      <c r="C898" s="58" t="n">
        <v>142</v>
      </c>
      <c r="D898" s="58" t="s">
        <v>8334</v>
      </c>
      <c r="E898" s="58" t="s">
        <v>8334</v>
      </c>
      <c r="F898" s="59" t="s">
        <v>608</v>
      </c>
    </row>
    <row r="899" customFormat="false" ht="15" hidden="false" customHeight="false" outlineLevel="0" collapsed="false">
      <c r="A899" s="90" t="str">
        <f aca="false">Gov_Map!$H143&amp;""</f>
        <v>SRC_HW_050</v>
      </c>
      <c r="B899" s="71" t="s">
        <v>8333</v>
      </c>
      <c r="C899" s="58" t="n">
        <v>143</v>
      </c>
      <c r="D899" s="58" t="s">
        <v>8334</v>
      </c>
      <c r="E899" s="58" t="s">
        <v>8334</v>
      </c>
      <c r="F899" s="59" t="s">
        <v>608</v>
      </c>
    </row>
    <row r="900" customFormat="false" ht="15" hidden="false" customHeight="false" outlineLevel="0" collapsed="false">
      <c r="A900" s="90" t="str">
        <f aca="false">Gov_Map!$H144&amp;""</f>
        <v>—</v>
      </c>
      <c r="B900" s="71" t="s">
        <v>8333</v>
      </c>
      <c r="C900" s="58" t="n">
        <v>144</v>
      </c>
      <c r="D900" s="58" t="s">
        <v>8334</v>
      </c>
      <c r="E900" s="58" t="s">
        <v>8334</v>
      </c>
      <c r="F900" s="59" t="s">
        <v>608</v>
      </c>
    </row>
    <row r="901" customFormat="false" ht="15" hidden="false" customHeight="false" outlineLevel="0" collapsed="false">
      <c r="A901" s="90" t="str">
        <f aca="false">Gov_Map!$H145&amp;""</f>
        <v>—</v>
      </c>
      <c r="B901" s="71" t="s">
        <v>8333</v>
      </c>
      <c r="C901" s="58" t="n">
        <v>145</v>
      </c>
      <c r="D901" s="58" t="s">
        <v>8334</v>
      </c>
      <c r="E901" s="58" t="s">
        <v>8334</v>
      </c>
      <c r="F901" s="59" t="s">
        <v>608</v>
      </c>
    </row>
    <row r="902" customFormat="false" ht="15" hidden="false" customHeight="false" outlineLevel="0" collapsed="false">
      <c r="A902" s="90" t="str">
        <f aca="false">Gov_Map!$H146&amp;""</f>
        <v>—</v>
      </c>
      <c r="B902" s="71" t="s">
        <v>8333</v>
      </c>
      <c r="C902" s="58" t="n">
        <v>146</v>
      </c>
      <c r="D902" s="58" t="s">
        <v>8334</v>
      </c>
      <c r="E902" s="58" t="s">
        <v>8334</v>
      </c>
      <c r="F902" s="59" t="s">
        <v>608</v>
      </c>
    </row>
    <row r="903" customFormat="false" ht="15" hidden="false" customHeight="false" outlineLevel="0" collapsed="false">
      <c r="A903" s="90" t="str">
        <f aca="false">Gov_Map!$H147&amp;""</f>
        <v>—</v>
      </c>
      <c r="B903" s="71" t="s">
        <v>8333</v>
      </c>
      <c r="C903" s="58" t="n">
        <v>147</v>
      </c>
      <c r="D903" s="58" t="s">
        <v>8334</v>
      </c>
      <c r="E903" s="58" t="s">
        <v>8334</v>
      </c>
      <c r="F903" s="59" t="s">
        <v>608</v>
      </c>
    </row>
    <row r="904" customFormat="false" ht="15" hidden="false" customHeight="false" outlineLevel="0" collapsed="false">
      <c r="A904" s="90" t="str">
        <f aca="false">Gov_Map!$H148&amp;""</f>
        <v>—</v>
      </c>
      <c r="B904" s="71" t="s">
        <v>8333</v>
      </c>
      <c r="C904" s="58" t="n">
        <v>148</v>
      </c>
      <c r="D904" s="58" t="s">
        <v>8334</v>
      </c>
      <c r="E904" s="58" t="s">
        <v>8334</v>
      </c>
      <c r="F904" s="59" t="s">
        <v>608</v>
      </c>
    </row>
    <row r="905" customFormat="false" ht="15" hidden="false" customHeight="false" outlineLevel="0" collapsed="false">
      <c r="A905" s="90" t="str">
        <f aca="false">Gov_Map!$H149&amp;""</f>
        <v>—</v>
      </c>
      <c r="B905" s="71" t="s">
        <v>8333</v>
      </c>
      <c r="C905" s="58" t="n">
        <v>149</v>
      </c>
      <c r="D905" s="58" t="s">
        <v>8334</v>
      </c>
      <c r="E905" s="58" t="s">
        <v>8334</v>
      </c>
      <c r="F905" s="59" t="s">
        <v>608</v>
      </c>
    </row>
    <row r="906" customFormat="false" ht="15" hidden="false" customHeight="false" outlineLevel="0" collapsed="false">
      <c r="A906" s="90" t="str">
        <f aca="false">Gov_Map!$H150&amp;""</f>
        <v>SRC_PERF_007</v>
      </c>
      <c r="B906" s="71" t="s">
        <v>8333</v>
      </c>
      <c r="C906" s="58" t="n">
        <v>150</v>
      </c>
      <c r="D906" s="58" t="s">
        <v>8334</v>
      </c>
      <c r="E906" s="58" t="s">
        <v>8334</v>
      </c>
      <c r="F906" s="59" t="s">
        <v>608</v>
      </c>
    </row>
    <row r="907" customFormat="false" ht="15" hidden="false" customHeight="false" outlineLevel="0" collapsed="false">
      <c r="A907" s="90" t="str">
        <f aca="false">Gov_Map!$H151&amp;""</f>
        <v>SRC_PERF_007</v>
      </c>
      <c r="B907" s="71" t="s">
        <v>8333</v>
      </c>
      <c r="C907" s="58" t="n">
        <v>151</v>
      </c>
      <c r="D907" s="58" t="s">
        <v>8334</v>
      </c>
      <c r="E907" s="58" t="s">
        <v>8334</v>
      </c>
      <c r="F907" s="59" t="s">
        <v>608</v>
      </c>
    </row>
    <row r="908" customFormat="false" ht="15" hidden="false" customHeight="false" outlineLevel="0" collapsed="false">
      <c r="A908" s="90" t="str">
        <f aca="false">Gov_Map!$H152&amp;""</f>
        <v>SRC_PERF_007</v>
      </c>
      <c r="B908" s="71" t="s">
        <v>8333</v>
      </c>
      <c r="C908" s="58" t="n">
        <v>152</v>
      </c>
      <c r="D908" s="58" t="s">
        <v>8334</v>
      </c>
      <c r="E908" s="58" t="s">
        <v>8334</v>
      </c>
      <c r="F908" s="59" t="s">
        <v>608</v>
      </c>
    </row>
    <row r="909" customFormat="false" ht="15" hidden="false" customHeight="false" outlineLevel="0" collapsed="false">
      <c r="A909" s="90" t="str">
        <f aca="false">Gov_Map!$H153&amp;""</f>
        <v>—</v>
      </c>
      <c r="B909" s="71" t="s">
        <v>8333</v>
      </c>
      <c r="C909" s="58" t="n">
        <v>153</v>
      </c>
      <c r="D909" s="58" t="s">
        <v>8334</v>
      </c>
      <c r="E909" s="58" t="s">
        <v>8334</v>
      </c>
      <c r="F909" s="59" t="s">
        <v>608</v>
      </c>
    </row>
    <row r="910" customFormat="false" ht="15" hidden="false" customHeight="false" outlineLevel="0" collapsed="false">
      <c r="A910" s="90" t="str">
        <f aca="false">Gov_Map!$H154&amp;""</f>
        <v>SRC_HW_056</v>
      </c>
      <c r="B910" s="71" t="s">
        <v>8333</v>
      </c>
      <c r="C910" s="58" t="n">
        <v>154</v>
      </c>
      <c r="D910" s="58" t="s">
        <v>8334</v>
      </c>
      <c r="E910" s="58" t="s">
        <v>8334</v>
      </c>
      <c r="F910" s="59" t="s">
        <v>608</v>
      </c>
    </row>
    <row r="911" customFormat="false" ht="15" hidden="false" customHeight="false" outlineLevel="0" collapsed="false">
      <c r="A911" s="90" t="str">
        <f aca="false">Gov_Map!$H155&amp;""</f>
        <v>SRC_HW_057</v>
      </c>
      <c r="B911" s="71" t="s">
        <v>8333</v>
      </c>
      <c r="C911" s="58" t="n">
        <v>155</v>
      </c>
      <c r="D911" s="58" t="s">
        <v>8334</v>
      </c>
      <c r="E911" s="58" t="s">
        <v>8334</v>
      </c>
      <c r="F911" s="59" t="s">
        <v>608</v>
      </c>
    </row>
    <row r="912" customFormat="false" ht="15" hidden="false" customHeight="false" outlineLevel="0" collapsed="false">
      <c r="A912" s="90" t="str">
        <f aca="false">Gov_Map!$H156&amp;""</f>
        <v>SRC_HW_058</v>
      </c>
      <c r="B912" s="71" t="s">
        <v>8333</v>
      </c>
      <c r="C912" s="58" t="n">
        <v>156</v>
      </c>
      <c r="D912" s="58" t="s">
        <v>8334</v>
      </c>
      <c r="E912" s="58" t="s">
        <v>8334</v>
      </c>
      <c r="F912" s="59" t="s">
        <v>608</v>
      </c>
    </row>
    <row r="913" customFormat="false" ht="15" hidden="false" customHeight="false" outlineLevel="0" collapsed="false">
      <c r="A913" s="90" t="str">
        <f aca="false">Gov_Map!$H157&amp;""</f>
        <v>SRC_HW_046</v>
      </c>
      <c r="B913" s="71" t="s">
        <v>8333</v>
      </c>
      <c r="C913" s="58" t="n">
        <v>157</v>
      </c>
      <c r="D913" s="58" t="s">
        <v>8334</v>
      </c>
      <c r="E913" s="58" t="s">
        <v>8334</v>
      </c>
      <c r="F913" s="59" t="s">
        <v>608</v>
      </c>
    </row>
    <row r="914" customFormat="false" ht="15" hidden="false" customHeight="false" outlineLevel="0" collapsed="false">
      <c r="A914" s="90" t="str">
        <f aca="false">Gov_Map!$H158&amp;""</f>
        <v>—</v>
      </c>
      <c r="B914" s="71" t="s">
        <v>8333</v>
      </c>
      <c r="C914" s="58" t="n">
        <v>158</v>
      </c>
      <c r="D914" s="58" t="s">
        <v>8334</v>
      </c>
      <c r="E914" s="58" t="s">
        <v>8334</v>
      </c>
      <c r="F914" s="59" t="s">
        <v>608</v>
      </c>
    </row>
    <row r="915" customFormat="false" ht="15" hidden="false" customHeight="false" outlineLevel="0" collapsed="false">
      <c r="A915" s="90" t="str">
        <f aca="false">Gov_Map!$H159&amp;""</f>
        <v>SRC_HW_032</v>
      </c>
      <c r="B915" s="71" t="s">
        <v>8333</v>
      </c>
      <c r="C915" s="58" t="n">
        <v>159</v>
      </c>
      <c r="D915" s="58" t="s">
        <v>8334</v>
      </c>
      <c r="E915" s="58" t="s">
        <v>8334</v>
      </c>
      <c r="F915" s="59" t="s">
        <v>608</v>
      </c>
    </row>
    <row r="916" customFormat="false" ht="15" hidden="false" customHeight="false" outlineLevel="0" collapsed="false">
      <c r="A916" s="90" t="str">
        <f aca="false">Gov_Map!$H160&amp;""</f>
        <v>SRC_HW_033</v>
      </c>
      <c r="B916" s="71" t="s">
        <v>8333</v>
      </c>
      <c r="C916" s="58" t="n">
        <v>160</v>
      </c>
      <c r="D916" s="58" t="s">
        <v>8334</v>
      </c>
      <c r="E916" s="58" t="s">
        <v>8334</v>
      </c>
      <c r="F916" s="59" t="s">
        <v>608</v>
      </c>
    </row>
    <row r="917" customFormat="false" ht="15" hidden="false" customHeight="false" outlineLevel="0" collapsed="false">
      <c r="A917" s="90" t="str">
        <f aca="false">Gov_Map!$H161&amp;""</f>
        <v>SRC_HW_033</v>
      </c>
      <c r="B917" s="71" t="s">
        <v>8333</v>
      </c>
      <c r="C917" s="58" t="n">
        <v>161</v>
      </c>
      <c r="D917" s="58" t="s">
        <v>8334</v>
      </c>
      <c r="E917" s="58" t="s">
        <v>8334</v>
      </c>
      <c r="F917" s="59" t="s">
        <v>608</v>
      </c>
    </row>
    <row r="918" customFormat="false" ht="15" hidden="false" customHeight="false" outlineLevel="0" collapsed="false">
      <c r="A918" s="90" t="str">
        <f aca="false">Gov_Map!$H162&amp;""</f>
        <v>SRC_HW_034</v>
      </c>
      <c r="B918" s="71" t="s">
        <v>8333</v>
      </c>
      <c r="C918" s="58" t="n">
        <v>162</v>
      </c>
      <c r="D918" s="58" t="s">
        <v>8334</v>
      </c>
      <c r="E918" s="58" t="s">
        <v>8334</v>
      </c>
      <c r="F918" s="59" t="s">
        <v>608</v>
      </c>
    </row>
    <row r="919" customFormat="false" ht="15" hidden="false" customHeight="false" outlineLevel="0" collapsed="false">
      <c r="A919" s="90" t="str">
        <f aca="false">Gov_Map!$H163&amp;""</f>
        <v>—</v>
      </c>
      <c r="B919" s="71" t="s">
        <v>8333</v>
      </c>
      <c r="C919" s="58" t="n">
        <v>163</v>
      </c>
      <c r="D919" s="58" t="s">
        <v>8334</v>
      </c>
      <c r="E919" s="58" t="s">
        <v>8334</v>
      </c>
      <c r="F919" s="59" t="s">
        <v>608</v>
      </c>
    </row>
    <row r="920" customFormat="false" ht="15" hidden="false" customHeight="false" outlineLevel="0" collapsed="false">
      <c r="A920" s="90" t="str">
        <f aca="false">Gov_Map!$H164&amp;""</f>
        <v>SRC_HW_019</v>
      </c>
      <c r="B920" s="71" t="s">
        <v>8333</v>
      </c>
      <c r="C920" s="58" t="n">
        <v>164</v>
      </c>
      <c r="D920" s="58" t="s">
        <v>8334</v>
      </c>
      <c r="E920" s="58" t="s">
        <v>8334</v>
      </c>
      <c r="F920" s="59" t="s">
        <v>608</v>
      </c>
    </row>
    <row r="921" customFormat="false" ht="15" hidden="false" customHeight="false" outlineLevel="0" collapsed="false">
      <c r="A921" s="90" t="str">
        <f aca="false">Gov_Map!$H165&amp;""</f>
        <v>SRC_HW_042</v>
      </c>
      <c r="B921" s="71" t="s">
        <v>8333</v>
      </c>
      <c r="C921" s="58" t="n">
        <v>165</v>
      </c>
      <c r="D921" s="58" t="s">
        <v>8334</v>
      </c>
      <c r="E921" s="58" t="s">
        <v>8334</v>
      </c>
      <c r="F921" s="59" t="s">
        <v>608</v>
      </c>
    </row>
    <row r="922" customFormat="false" ht="15" hidden="false" customHeight="false" outlineLevel="0" collapsed="false">
      <c r="A922" s="90" t="str">
        <f aca="false">Gov_Map!$H166&amp;""</f>
        <v>SRC_HW_042</v>
      </c>
      <c r="B922" s="71" t="s">
        <v>8333</v>
      </c>
      <c r="C922" s="58" t="n">
        <v>166</v>
      </c>
      <c r="D922" s="58" t="s">
        <v>8334</v>
      </c>
      <c r="E922" s="58" t="s">
        <v>8334</v>
      </c>
      <c r="F922" s="59" t="s">
        <v>608</v>
      </c>
    </row>
    <row r="923" customFormat="false" ht="15" hidden="false" customHeight="false" outlineLevel="0" collapsed="false">
      <c r="A923" s="90" t="str">
        <f aca="false">Gov_Map!$H167&amp;""</f>
        <v>SRC_HW_039</v>
      </c>
      <c r="B923" s="71" t="s">
        <v>8333</v>
      </c>
      <c r="C923" s="58" t="n">
        <v>167</v>
      </c>
      <c r="D923" s="58" t="s">
        <v>8334</v>
      </c>
      <c r="E923" s="58" t="s">
        <v>8334</v>
      </c>
      <c r="F923" s="59" t="s">
        <v>608</v>
      </c>
    </row>
    <row r="924" customFormat="false" ht="15" hidden="false" customHeight="false" outlineLevel="0" collapsed="false">
      <c r="A924" s="90" t="str">
        <f aca="false">Gov_Map!$H168&amp;""</f>
        <v>—</v>
      </c>
      <c r="B924" s="71" t="s">
        <v>8333</v>
      </c>
      <c r="C924" s="58" t="n">
        <v>168</v>
      </c>
      <c r="D924" s="58" t="s">
        <v>8334</v>
      </c>
      <c r="E924" s="58" t="s">
        <v>8334</v>
      </c>
      <c r="F924" s="59" t="s">
        <v>608</v>
      </c>
    </row>
    <row r="925" customFormat="false" ht="15" hidden="false" customHeight="false" outlineLevel="0" collapsed="false">
      <c r="A925" s="90" t="str">
        <f aca="false">Gov_Map!$H169&amp;""</f>
        <v>SRC_HW_040</v>
      </c>
      <c r="B925" s="71" t="s">
        <v>8333</v>
      </c>
      <c r="C925" s="58" t="n">
        <v>169</v>
      </c>
      <c r="D925" s="58" t="s">
        <v>8334</v>
      </c>
      <c r="E925" s="58" t="s">
        <v>8334</v>
      </c>
      <c r="F925" s="59" t="s">
        <v>608</v>
      </c>
    </row>
    <row r="926" customFormat="false" ht="15" hidden="false" customHeight="false" outlineLevel="0" collapsed="false">
      <c r="A926" s="90" t="str">
        <f aca="false">Gov_Map!$H170&amp;""</f>
        <v>SRC_HW_043</v>
      </c>
      <c r="B926" s="71" t="s">
        <v>8333</v>
      </c>
      <c r="C926" s="58" t="n">
        <v>170</v>
      </c>
      <c r="D926" s="58" t="s">
        <v>8334</v>
      </c>
      <c r="E926" s="58" t="s">
        <v>8334</v>
      </c>
      <c r="F926" s="59" t="s">
        <v>608</v>
      </c>
    </row>
    <row r="927" customFormat="false" ht="15" hidden="false" customHeight="false" outlineLevel="0" collapsed="false">
      <c r="A927" s="90" t="str">
        <f aca="false">Gov_Map!$H171&amp;""</f>
        <v>SRC_HW_043</v>
      </c>
      <c r="B927" s="71" t="s">
        <v>8333</v>
      </c>
      <c r="C927" s="58" t="n">
        <v>171</v>
      </c>
      <c r="D927" s="58" t="s">
        <v>8334</v>
      </c>
      <c r="E927" s="58" t="s">
        <v>8334</v>
      </c>
      <c r="F927" s="59" t="s">
        <v>608</v>
      </c>
    </row>
    <row r="928" customFormat="false" ht="15" hidden="false" customHeight="false" outlineLevel="0" collapsed="false">
      <c r="A928" s="90" t="str">
        <f aca="false">Gov_Map!$H172&amp;""</f>
        <v>SRC_HW_038</v>
      </c>
      <c r="B928" s="71" t="s">
        <v>8333</v>
      </c>
      <c r="C928" s="58" t="n">
        <v>172</v>
      </c>
      <c r="D928" s="58" t="s">
        <v>8334</v>
      </c>
      <c r="E928" s="58" t="s">
        <v>8334</v>
      </c>
      <c r="F928" s="59" t="s">
        <v>608</v>
      </c>
    </row>
    <row r="929" customFormat="false" ht="15" hidden="false" customHeight="false" outlineLevel="0" collapsed="false">
      <c r="A929" s="90" t="str">
        <f aca="false">Gov_Map!$H173&amp;""</f>
        <v>SRC_HW_063</v>
      </c>
      <c r="B929" s="71" t="s">
        <v>8333</v>
      </c>
      <c r="C929" s="58" t="n">
        <v>173</v>
      </c>
      <c r="D929" s="58" t="s">
        <v>8334</v>
      </c>
      <c r="E929" s="58" t="s">
        <v>8334</v>
      </c>
      <c r="F929" s="59" t="s">
        <v>608</v>
      </c>
    </row>
    <row r="930" customFormat="false" ht="15" hidden="false" customHeight="false" outlineLevel="0" collapsed="false">
      <c r="A930" s="90" t="str">
        <f aca="false">Gov_Map!$H174&amp;""</f>
        <v>—</v>
      </c>
      <c r="B930" s="71" t="s">
        <v>8333</v>
      </c>
      <c r="C930" s="58" t="n">
        <v>174</v>
      </c>
      <c r="D930" s="58" t="s">
        <v>8334</v>
      </c>
      <c r="E930" s="58" t="s">
        <v>8334</v>
      </c>
      <c r="F930" s="59" t="s">
        <v>608</v>
      </c>
    </row>
    <row r="931" customFormat="false" ht="15" hidden="false" customHeight="false" outlineLevel="0" collapsed="false">
      <c r="A931" s="90" t="str">
        <f aca="false">Gov_Map!$H175&amp;""</f>
        <v>SRC_HW_037</v>
      </c>
      <c r="B931" s="71" t="s">
        <v>8333</v>
      </c>
      <c r="C931" s="58" t="n">
        <v>175</v>
      </c>
      <c r="D931" s="58" t="s">
        <v>8334</v>
      </c>
      <c r="E931" s="58" t="s">
        <v>8334</v>
      </c>
      <c r="F931" s="59" t="s">
        <v>608</v>
      </c>
    </row>
    <row r="932" customFormat="false" ht="15" hidden="false" customHeight="false" outlineLevel="0" collapsed="false">
      <c r="A932" s="90" t="str">
        <f aca="false">Gov_Map!$H176&amp;""</f>
        <v>—</v>
      </c>
      <c r="B932" s="71" t="s">
        <v>8333</v>
      </c>
      <c r="C932" s="58" t="n">
        <v>176</v>
      </c>
      <c r="D932" s="58" t="s">
        <v>8334</v>
      </c>
      <c r="E932" s="58" t="s">
        <v>8334</v>
      </c>
      <c r="F932" s="59" t="s">
        <v>608</v>
      </c>
    </row>
    <row r="933" customFormat="false" ht="15" hidden="false" customHeight="false" outlineLevel="0" collapsed="false">
      <c r="A933" s="90" t="str">
        <f aca="false">Gov_Map!$H177&amp;""</f>
        <v>SRC_HW_037</v>
      </c>
      <c r="B933" s="71" t="s">
        <v>8333</v>
      </c>
      <c r="C933" s="58" t="n">
        <v>177</v>
      </c>
      <c r="D933" s="58" t="s">
        <v>8334</v>
      </c>
      <c r="E933" s="58" t="s">
        <v>8334</v>
      </c>
      <c r="F933" s="59" t="s">
        <v>608</v>
      </c>
    </row>
    <row r="934" customFormat="false" ht="15" hidden="false" customHeight="false" outlineLevel="0" collapsed="false">
      <c r="A934" s="90" t="str">
        <f aca="false">Gov_Map!$H178&amp;""</f>
        <v>—</v>
      </c>
      <c r="B934" s="71" t="s">
        <v>8333</v>
      </c>
      <c r="C934" s="58" t="n">
        <v>178</v>
      </c>
      <c r="D934" s="58" t="s">
        <v>8334</v>
      </c>
      <c r="E934" s="58" t="s">
        <v>8334</v>
      </c>
      <c r="F934" s="59" t="s">
        <v>608</v>
      </c>
    </row>
    <row r="935" customFormat="false" ht="15" hidden="false" customHeight="false" outlineLevel="0" collapsed="false">
      <c r="A935" s="90" t="str">
        <f aca="false">Gov_Map!$H179&amp;""</f>
        <v>SRC_MOD_005</v>
      </c>
      <c r="B935" s="71" t="s">
        <v>8333</v>
      </c>
      <c r="C935" s="58" t="n">
        <v>179</v>
      </c>
      <c r="D935" s="58" t="s">
        <v>8334</v>
      </c>
      <c r="E935" s="58" t="s">
        <v>8334</v>
      </c>
      <c r="F935" s="59" t="s">
        <v>608</v>
      </c>
    </row>
    <row r="936" customFormat="false" ht="15" hidden="false" customHeight="false" outlineLevel="0" collapsed="false">
      <c r="A936" s="90" t="str">
        <f aca="false">Gov_Map!$H180&amp;""</f>
        <v>SRC_MOD_001</v>
      </c>
      <c r="B936" s="71" t="s">
        <v>8333</v>
      </c>
      <c r="C936" s="58" t="n">
        <v>180</v>
      </c>
      <c r="D936" s="58" t="s">
        <v>8334</v>
      </c>
      <c r="E936" s="58" t="s">
        <v>8334</v>
      </c>
      <c r="F936" s="59" t="s">
        <v>608</v>
      </c>
    </row>
    <row r="937" customFormat="false" ht="15" hidden="false" customHeight="false" outlineLevel="0" collapsed="false">
      <c r="A937" s="90" t="str">
        <f aca="false">Gov_Map!$H181&amp;""</f>
        <v>SRC_MOD_006</v>
      </c>
      <c r="B937" s="71" t="s">
        <v>8333</v>
      </c>
      <c r="C937" s="58" t="n">
        <v>181</v>
      </c>
      <c r="D937" s="58" t="s">
        <v>8334</v>
      </c>
      <c r="E937" s="58" t="s">
        <v>8334</v>
      </c>
      <c r="F937" s="59" t="s">
        <v>608</v>
      </c>
    </row>
    <row r="938" customFormat="false" ht="15" hidden="false" customHeight="false" outlineLevel="0" collapsed="false">
      <c r="A938" s="90" t="str">
        <f aca="false">Gov_Map!$H182&amp;""</f>
        <v>SRC_MOD_002</v>
      </c>
      <c r="B938" s="71" t="s">
        <v>8333</v>
      </c>
      <c r="C938" s="58" t="n">
        <v>182</v>
      </c>
      <c r="D938" s="58" t="s">
        <v>8334</v>
      </c>
      <c r="E938" s="58" t="s">
        <v>8334</v>
      </c>
      <c r="F938" s="59" t="s">
        <v>608</v>
      </c>
    </row>
    <row r="939" customFormat="false" ht="15" hidden="false" customHeight="false" outlineLevel="0" collapsed="false">
      <c r="A939" s="90" t="str">
        <f aca="false">Gov_Map!$H183&amp;""</f>
        <v>SRC_MOD_007</v>
      </c>
      <c r="B939" s="71" t="s">
        <v>8333</v>
      </c>
      <c r="C939" s="58" t="n">
        <v>183</v>
      </c>
      <c r="D939" s="58" t="s">
        <v>8334</v>
      </c>
      <c r="E939" s="58" t="s">
        <v>8334</v>
      </c>
      <c r="F939" s="59" t="s">
        <v>608</v>
      </c>
    </row>
    <row r="940" customFormat="false" ht="15" hidden="false" customHeight="false" outlineLevel="0" collapsed="false">
      <c r="A940" s="90" t="str">
        <f aca="false">Gov_Map!$H184&amp;""</f>
        <v>SRC_MOD_003</v>
      </c>
      <c r="B940" s="71" t="s">
        <v>8333</v>
      </c>
      <c r="C940" s="58" t="n">
        <v>184</v>
      </c>
      <c r="D940" s="58" t="s">
        <v>8334</v>
      </c>
      <c r="E940" s="58" t="s">
        <v>8334</v>
      </c>
      <c r="F940" s="59" t="s">
        <v>608</v>
      </c>
    </row>
    <row r="941" customFormat="false" ht="15" hidden="false" customHeight="false" outlineLevel="0" collapsed="false">
      <c r="A941" s="90" t="str">
        <f aca="false">Gov_Map!$H185&amp;""</f>
        <v>SRC_MOD_009</v>
      </c>
      <c r="B941" s="71" t="s">
        <v>8333</v>
      </c>
      <c r="C941" s="58" t="n">
        <v>185</v>
      </c>
      <c r="D941" s="58" t="s">
        <v>8334</v>
      </c>
      <c r="E941" s="58" t="s">
        <v>8334</v>
      </c>
      <c r="F941" s="59" t="s">
        <v>608</v>
      </c>
    </row>
    <row r="942" customFormat="false" ht="15" hidden="false" customHeight="false" outlineLevel="0" collapsed="false">
      <c r="A942" s="90" t="str">
        <f aca="false">Gov_Map!$H186&amp;""</f>
        <v>SRC_MOD_009</v>
      </c>
      <c r="B942" s="71" t="s">
        <v>8333</v>
      </c>
      <c r="C942" s="58" t="n">
        <v>186</v>
      </c>
      <c r="D942" s="58" t="s">
        <v>8334</v>
      </c>
      <c r="E942" s="58" t="s">
        <v>8334</v>
      </c>
      <c r="F942" s="59" t="s">
        <v>608</v>
      </c>
    </row>
    <row r="943" customFormat="false" ht="15" hidden="false" customHeight="false" outlineLevel="0" collapsed="false">
      <c r="A943" s="90" t="str">
        <f aca="false">Gov_Map!$H187&amp;""</f>
        <v>SRC_MOD_010</v>
      </c>
      <c r="B943" s="71" t="s">
        <v>8333</v>
      </c>
      <c r="C943" s="58" t="n">
        <v>187</v>
      </c>
      <c r="D943" s="58" t="s">
        <v>8334</v>
      </c>
      <c r="E943" s="58" t="s">
        <v>8334</v>
      </c>
      <c r="F943" s="59" t="s">
        <v>608</v>
      </c>
    </row>
    <row r="944" customFormat="false" ht="15" hidden="false" customHeight="false" outlineLevel="0" collapsed="false">
      <c r="A944" s="90" t="str">
        <f aca="false">Gov_Map!$H188&amp;""</f>
        <v>SRC_MOD_011</v>
      </c>
      <c r="B944" s="71" t="s">
        <v>8333</v>
      </c>
      <c r="C944" s="58" t="n">
        <v>188</v>
      </c>
      <c r="D944" s="58" t="s">
        <v>8334</v>
      </c>
      <c r="E944" s="58" t="s">
        <v>8334</v>
      </c>
      <c r="F944" s="59" t="s">
        <v>608</v>
      </c>
    </row>
    <row r="945" customFormat="false" ht="15" hidden="false" customHeight="false" outlineLevel="0" collapsed="false">
      <c r="A945" s="90" t="str">
        <f aca="false">Gov_Map!$H189&amp;""</f>
        <v>SRC_MOD_012</v>
      </c>
      <c r="B945" s="71" t="s">
        <v>8333</v>
      </c>
      <c r="C945" s="58" t="n">
        <v>189</v>
      </c>
      <c r="D945" s="58" t="s">
        <v>8334</v>
      </c>
      <c r="E945" s="58" t="s">
        <v>8334</v>
      </c>
      <c r="F945" s="59" t="s">
        <v>608</v>
      </c>
    </row>
    <row r="946" customFormat="false" ht="15" hidden="false" customHeight="false" outlineLevel="0" collapsed="false">
      <c r="A946" s="90" t="str">
        <f aca="false">Gov_Map!$H190&amp;""</f>
        <v>SRC_MOD_012</v>
      </c>
      <c r="B946" s="71" t="s">
        <v>8333</v>
      </c>
      <c r="C946" s="58" t="n">
        <v>190</v>
      </c>
      <c r="D946" s="58" t="s">
        <v>8334</v>
      </c>
      <c r="E946" s="58" t="s">
        <v>8334</v>
      </c>
      <c r="F946" s="59" t="s">
        <v>608</v>
      </c>
    </row>
    <row r="947" customFormat="false" ht="15" hidden="false" customHeight="false" outlineLevel="0" collapsed="false">
      <c r="A947" s="90" t="str">
        <f aca="false">Gov_Map!$H191&amp;""</f>
        <v>SRC_MOD_013</v>
      </c>
      <c r="B947" s="71" t="s">
        <v>8333</v>
      </c>
      <c r="C947" s="58" t="n">
        <v>191</v>
      </c>
      <c r="D947" s="58" t="s">
        <v>8334</v>
      </c>
      <c r="E947" s="58" t="s">
        <v>8334</v>
      </c>
      <c r="F947" s="59" t="s">
        <v>608</v>
      </c>
    </row>
    <row r="948" customFormat="false" ht="15" hidden="false" customHeight="false" outlineLevel="0" collapsed="false">
      <c r="A948" s="90" t="str">
        <f aca="false">Gov_Map!$H192&amp;""</f>
        <v>SRC_MOD_013</v>
      </c>
      <c r="B948" s="71" t="s">
        <v>8333</v>
      </c>
      <c r="C948" s="58" t="n">
        <v>192</v>
      </c>
      <c r="D948" s="58" t="s">
        <v>8334</v>
      </c>
      <c r="E948" s="58" t="s">
        <v>8334</v>
      </c>
      <c r="F948" s="59" t="s">
        <v>608</v>
      </c>
    </row>
    <row r="949" customFormat="false" ht="15" hidden="false" customHeight="false" outlineLevel="0" collapsed="false">
      <c r="A949" s="90" t="str">
        <f aca="false">Gov_Map!$H193&amp;""</f>
        <v>SRC_MOD_014</v>
      </c>
      <c r="B949" s="71" t="s">
        <v>8333</v>
      </c>
      <c r="C949" s="58" t="n">
        <v>193</v>
      </c>
      <c r="D949" s="58" t="s">
        <v>8334</v>
      </c>
      <c r="E949" s="58" t="s">
        <v>8334</v>
      </c>
      <c r="F949" s="59" t="s">
        <v>608</v>
      </c>
    </row>
    <row r="950" customFormat="false" ht="15" hidden="false" customHeight="false" outlineLevel="0" collapsed="false">
      <c r="A950" s="90" t="str">
        <f aca="false">Gov_Map!$H194&amp;""</f>
        <v>SRC_MOD_014</v>
      </c>
      <c r="B950" s="71" t="s">
        <v>8333</v>
      </c>
      <c r="C950" s="58" t="n">
        <v>194</v>
      </c>
      <c r="D950" s="58" t="s">
        <v>8334</v>
      </c>
      <c r="E950" s="58" t="s">
        <v>8334</v>
      </c>
      <c r="F950" s="59" t="s">
        <v>608</v>
      </c>
    </row>
    <row r="951" customFormat="false" ht="15" hidden="false" customHeight="false" outlineLevel="0" collapsed="false">
      <c r="A951" s="90" t="str">
        <f aca="false">Gov_Map!$H195&amp;""</f>
        <v>SRC_MOD_015</v>
      </c>
      <c r="B951" s="71" t="s">
        <v>8333</v>
      </c>
      <c r="C951" s="58" t="n">
        <v>195</v>
      </c>
      <c r="D951" s="58" t="s">
        <v>8334</v>
      </c>
      <c r="E951" s="58" t="s">
        <v>8334</v>
      </c>
      <c r="F951" s="59" t="s">
        <v>608</v>
      </c>
    </row>
    <row r="952" customFormat="false" ht="15" hidden="false" customHeight="false" outlineLevel="0" collapsed="false">
      <c r="A952" s="90" t="str">
        <f aca="false">Gov_Map!$H196&amp;""</f>
        <v>SRC_MOD_015</v>
      </c>
      <c r="B952" s="71" t="s">
        <v>8333</v>
      </c>
      <c r="C952" s="58" t="n">
        <v>196</v>
      </c>
      <c r="D952" s="58" t="s">
        <v>8334</v>
      </c>
      <c r="E952" s="58" t="s">
        <v>8334</v>
      </c>
      <c r="F952" s="59" t="s">
        <v>608</v>
      </c>
    </row>
    <row r="953" customFormat="false" ht="15" hidden="false" customHeight="false" outlineLevel="0" collapsed="false">
      <c r="A953" s="90" t="str">
        <f aca="false">Gov_Map!$H197&amp;""</f>
        <v>SRC_MOD_016</v>
      </c>
      <c r="B953" s="71" t="s">
        <v>8333</v>
      </c>
      <c r="C953" s="58" t="n">
        <v>197</v>
      </c>
      <c r="D953" s="58" t="s">
        <v>8334</v>
      </c>
      <c r="E953" s="58" t="s">
        <v>8334</v>
      </c>
      <c r="F953" s="59" t="s">
        <v>608</v>
      </c>
    </row>
    <row r="954" customFormat="false" ht="15" hidden="false" customHeight="false" outlineLevel="0" collapsed="false">
      <c r="A954" s="90" t="str">
        <f aca="false">Gov_Map!$H198&amp;""</f>
        <v>SRC_MOD_016</v>
      </c>
      <c r="B954" s="71" t="s">
        <v>8333</v>
      </c>
      <c r="C954" s="58" t="n">
        <v>198</v>
      </c>
      <c r="D954" s="58" t="s">
        <v>8334</v>
      </c>
      <c r="E954" s="58" t="s">
        <v>8334</v>
      </c>
      <c r="F954" s="59" t="s">
        <v>608</v>
      </c>
    </row>
    <row r="955" customFormat="false" ht="15" hidden="false" customHeight="false" outlineLevel="0" collapsed="false">
      <c r="A955" s="90" t="str">
        <f aca="false">Gov_Map!$H199&amp;""</f>
        <v>SRC_MOD_017</v>
      </c>
      <c r="B955" s="71" t="s">
        <v>8333</v>
      </c>
      <c r="C955" s="58" t="n">
        <v>199</v>
      </c>
      <c r="D955" s="58" t="s">
        <v>8334</v>
      </c>
      <c r="E955" s="58" t="s">
        <v>8334</v>
      </c>
      <c r="F955" s="59" t="s">
        <v>608</v>
      </c>
    </row>
    <row r="956" customFormat="false" ht="15" hidden="false" customHeight="false" outlineLevel="0" collapsed="false">
      <c r="A956" s="90" t="str">
        <f aca="false">Gov_Map!$H200&amp;""</f>
        <v>SRC_MOD_017</v>
      </c>
      <c r="B956" s="71" t="s">
        <v>8333</v>
      </c>
      <c r="C956" s="58" t="n">
        <v>200</v>
      </c>
      <c r="D956" s="58" t="s">
        <v>8334</v>
      </c>
      <c r="E956" s="58" t="s">
        <v>8334</v>
      </c>
      <c r="F956" s="59" t="s">
        <v>608</v>
      </c>
    </row>
    <row r="957" customFormat="false" ht="15" hidden="false" customHeight="false" outlineLevel="0" collapsed="false">
      <c r="A957" s="90" t="str">
        <f aca="false">Gov_Map!$H201&amp;""</f>
        <v>SRC_MOD_004</v>
      </c>
      <c r="B957" s="71" t="s">
        <v>8333</v>
      </c>
      <c r="C957" s="58" t="n">
        <v>201</v>
      </c>
      <c r="D957" s="58" t="s">
        <v>8334</v>
      </c>
      <c r="E957" s="58" t="s">
        <v>8334</v>
      </c>
      <c r="F957" s="59" t="s">
        <v>608</v>
      </c>
    </row>
    <row r="958" customFormat="false" ht="15" hidden="false" customHeight="false" outlineLevel="0" collapsed="false">
      <c r="A958" s="90" t="str">
        <f aca="false">Gov_Map!$H202&amp;""</f>
        <v>SRC_MOD_008</v>
      </c>
      <c r="B958" s="71" t="s">
        <v>8333</v>
      </c>
      <c r="C958" s="58" t="n">
        <v>202</v>
      </c>
      <c r="D958" s="58" t="s">
        <v>8334</v>
      </c>
      <c r="E958" s="58" t="s">
        <v>8334</v>
      </c>
      <c r="F958" s="59" t="s">
        <v>608</v>
      </c>
    </row>
    <row r="959" customFormat="false" ht="15" hidden="false" customHeight="false" outlineLevel="0" collapsed="false">
      <c r="A959" s="90" t="str">
        <f aca="false">Gov_Map!$H203&amp;""</f>
        <v>SRC_MOD_052</v>
      </c>
      <c r="B959" s="71" t="s">
        <v>8333</v>
      </c>
      <c r="C959" s="58" t="n">
        <v>203</v>
      </c>
      <c r="D959" s="58" t="s">
        <v>8334</v>
      </c>
      <c r="E959" s="58" t="s">
        <v>8334</v>
      </c>
      <c r="F959" s="59" t="s">
        <v>608</v>
      </c>
    </row>
    <row r="960" customFormat="false" ht="15" hidden="false" customHeight="false" outlineLevel="0" collapsed="false">
      <c r="A960" s="90" t="str">
        <f aca="false">Gov_Map!$H204&amp;""</f>
        <v>SRC_MOD_053</v>
      </c>
      <c r="B960" s="71" t="s">
        <v>8333</v>
      </c>
      <c r="C960" s="58" t="n">
        <v>204</v>
      </c>
      <c r="D960" s="58" t="s">
        <v>8334</v>
      </c>
      <c r="E960" s="58" t="s">
        <v>8334</v>
      </c>
      <c r="F960" s="59" t="s">
        <v>608</v>
      </c>
    </row>
    <row r="961" customFormat="false" ht="15" hidden="false" customHeight="false" outlineLevel="0" collapsed="false">
      <c r="A961" s="90" t="str">
        <f aca="false">Gov_Map!$H205&amp;""</f>
        <v>SRC_MOD_018</v>
      </c>
      <c r="B961" s="71" t="s">
        <v>8333</v>
      </c>
      <c r="C961" s="58" t="n">
        <v>205</v>
      </c>
      <c r="D961" s="58" t="s">
        <v>8334</v>
      </c>
      <c r="E961" s="58" t="s">
        <v>8334</v>
      </c>
      <c r="F961" s="59" t="s">
        <v>608</v>
      </c>
    </row>
    <row r="962" customFormat="false" ht="15" hidden="false" customHeight="false" outlineLevel="0" collapsed="false">
      <c r="A962" s="90" t="str">
        <f aca="false">Gov_Map!$H206&amp;""</f>
        <v>SRC_MOD_018</v>
      </c>
      <c r="B962" s="71" t="s">
        <v>8333</v>
      </c>
      <c r="C962" s="58" t="n">
        <v>206</v>
      </c>
      <c r="D962" s="58" t="s">
        <v>8334</v>
      </c>
      <c r="E962" s="58" t="s">
        <v>8334</v>
      </c>
      <c r="F962" s="59" t="s">
        <v>608</v>
      </c>
    </row>
    <row r="963" customFormat="false" ht="15" hidden="false" customHeight="false" outlineLevel="0" collapsed="false">
      <c r="A963" s="90" t="str">
        <f aca="false">Gov_Map!$H207&amp;""</f>
        <v>—</v>
      </c>
      <c r="B963" s="71" t="s">
        <v>8333</v>
      </c>
      <c r="C963" s="58" t="n">
        <v>207</v>
      </c>
      <c r="D963" s="58" t="s">
        <v>8334</v>
      </c>
      <c r="E963" s="58" t="s">
        <v>8334</v>
      </c>
      <c r="F963" s="59" t="s">
        <v>608</v>
      </c>
    </row>
    <row r="964" customFormat="false" ht="15" hidden="false" customHeight="false" outlineLevel="0" collapsed="false">
      <c r="A964" s="90" t="str">
        <f aca="false">Gov_Map!$H208&amp;""</f>
        <v>—</v>
      </c>
      <c r="B964" s="71" t="s">
        <v>8333</v>
      </c>
      <c r="C964" s="58" t="n">
        <v>208</v>
      </c>
      <c r="D964" s="58" t="s">
        <v>8334</v>
      </c>
      <c r="E964" s="58" t="s">
        <v>8334</v>
      </c>
      <c r="F964" s="59" t="s">
        <v>608</v>
      </c>
    </row>
    <row r="965" customFormat="false" ht="15" hidden="false" customHeight="false" outlineLevel="0" collapsed="false">
      <c r="A965" s="90" t="str">
        <f aca="false">Gov_Map!$H209&amp;""</f>
        <v>—</v>
      </c>
      <c r="B965" s="71" t="s">
        <v>8333</v>
      </c>
      <c r="C965" s="58" t="n">
        <v>209</v>
      </c>
      <c r="D965" s="58" t="s">
        <v>8334</v>
      </c>
      <c r="E965" s="58" t="s">
        <v>8334</v>
      </c>
      <c r="F965" s="59" t="s">
        <v>608</v>
      </c>
    </row>
    <row r="966" customFormat="false" ht="15" hidden="false" customHeight="false" outlineLevel="0" collapsed="false">
      <c r="A966" s="90" t="str">
        <f aca="false">Gov_Map!$H210&amp;""</f>
        <v>—</v>
      </c>
      <c r="B966" s="71" t="s">
        <v>8333</v>
      </c>
      <c r="C966" s="58" t="n">
        <v>210</v>
      </c>
      <c r="D966" s="58" t="s">
        <v>8334</v>
      </c>
      <c r="E966" s="58" t="s">
        <v>8334</v>
      </c>
      <c r="F966" s="59" t="s">
        <v>608</v>
      </c>
    </row>
    <row r="967" customFormat="false" ht="15" hidden="false" customHeight="false" outlineLevel="0" collapsed="false">
      <c r="A967" s="90" t="str">
        <f aca="false">Gov_Map!$H211&amp;""</f>
        <v>—</v>
      </c>
      <c r="B967" s="71" t="s">
        <v>8333</v>
      </c>
      <c r="C967" s="58" t="n">
        <v>211</v>
      </c>
      <c r="D967" s="58" t="s">
        <v>8334</v>
      </c>
      <c r="E967" s="58" t="s">
        <v>8334</v>
      </c>
      <c r="F967" s="59" t="s">
        <v>608</v>
      </c>
    </row>
    <row r="968" customFormat="false" ht="15" hidden="false" customHeight="false" outlineLevel="0" collapsed="false">
      <c r="A968" s="90" t="str">
        <f aca="false">Gov_Map!$H212&amp;""</f>
        <v>—</v>
      </c>
      <c r="B968" s="71" t="s">
        <v>8333</v>
      </c>
      <c r="C968" s="58" t="n">
        <v>212</v>
      </c>
      <c r="D968" s="58" t="s">
        <v>8334</v>
      </c>
      <c r="E968" s="58" t="s">
        <v>8334</v>
      </c>
      <c r="F968" s="59" t="s">
        <v>608</v>
      </c>
    </row>
    <row r="969" customFormat="false" ht="15" hidden="false" customHeight="false" outlineLevel="0" collapsed="false">
      <c r="A969" s="90" t="str">
        <f aca="false">Gov_Map!$H213&amp;""</f>
        <v>—</v>
      </c>
      <c r="B969" s="71" t="s">
        <v>8333</v>
      </c>
      <c r="C969" s="58" t="n">
        <v>213</v>
      </c>
      <c r="D969" s="58" t="s">
        <v>8334</v>
      </c>
      <c r="E969" s="58" t="s">
        <v>8334</v>
      </c>
      <c r="F969" s="59" t="s">
        <v>608</v>
      </c>
    </row>
    <row r="970" customFormat="false" ht="15" hidden="false" customHeight="false" outlineLevel="0" collapsed="false">
      <c r="A970" s="90" t="str">
        <f aca="false">Gov_Map!$H214&amp;""</f>
        <v>—</v>
      </c>
      <c r="B970" s="71" t="s">
        <v>8333</v>
      </c>
      <c r="C970" s="58" t="n">
        <v>214</v>
      </c>
      <c r="D970" s="58" t="s">
        <v>8334</v>
      </c>
      <c r="E970" s="58" t="s">
        <v>8334</v>
      </c>
      <c r="F970" s="59" t="s">
        <v>608</v>
      </c>
    </row>
    <row r="971" customFormat="false" ht="15" hidden="false" customHeight="false" outlineLevel="0" collapsed="false">
      <c r="A971" s="90" t="str">
        <f aca="false">Gov_Map!$H215&amp;""</f>
        <v>—</v>
      </c>
      <c r="B971" s="71" t="s">
        <v>8333</v>
      </c>
      <c r="C971" s="58" t="n">
        <v>215</v>
      </c>
      <c r="D971" s="58" t="s">
        <v>8334</v>
      </c>
      <c r="E971" s="58" t="s">
        <v>8334</v>
      </c>
      <c r="F971" s="59" t="s">
        <v>608</v>
      </c>
    </row>
    <row r="972" customFormat="false" ht="15" hidden="false" customHeight="false" outlineLevel="0" collapsed="false">
      <c r="A972" s="90" t="str">
        <f aca="false">Gov_Map!$H216&amp;""</f>
        <v>—</v>
      </c>
      <c r="B972" s="71" t="s">
        <v>8333</v>
      </c>
      <c r="C972" s="58" t="n">
        <v>216</v>
      </c>
      <c r="D972" s="58" t="s">
        <v>8334</v>
      </c>
      <c r="E972" s="58" t="s">
        <v>8334</v>
      </c>
      <c r="F972" s="59" t="s">
        <v>608</v>
      </c>
    </row>
    <row r="973" customFormat="false" ht="15" hidden="false" customHeight="false" outlineLevel="0" collapsed="false">
      <c r="A973" s="90" t="str">
        <f aca="false">Gov_Map!$H217&amp;""</f>
        <v>—</v>
      </c>
      <c r="B973" s="71" t="s">
        <v>8333</v>
      </c>
      <c r="C973" s="58" t="n">
        <v>217</v>
      </c>
      <c r="D973" s="58" t="s">
        <v>8334</v>
      </c>
      <c r="E973" s="58" t="s">
        <v>8334</v>
      </c>
      <c r="F973" s="59" t="s">
        <v>608</v>
      </c>
    </row>
    <row r="974" customFormat="false" ht="15" hidden="false" customHeight="false" outlineLevel="0" collapsed="false">
      <c r="A974" s="90" t="str">
        <f aca="false">Gov_Map!$H218&amp;""</f>
        <v>—</v>
      </c>
      <c r="B974" s="71" t="s">
        <v>8333</v>
      </c>
      <c r="C974" s="58" t="n">
        <v>218</v>
      </c>
      <c r="D974" s="58" t="s">
        <v>8334</v>
      </c>
      <c r="E974" s="58" t="s">
        <v>8334</v>
      </c>
      <c r="F974" s="59" t="s">
        <v>608</v>
      </c>
    </row>
    <row r="975" customFormat="false" ht="15" hidden="false" customHeight="false" outlineLevel="0" collapsed="false">
      <c r="A975" s="90" t="str">
        <f aca="false">Gov_Map!$H219&amp;""</f>
        <v>—</v>
      </c>
      <c r="B975" s="71" t="s">
        <v>8333</v>
      </c>
      <c r="C975" s="58" t="n">
        <v>219</v>
      </c>
      <c r="D975" s="58" t="s">
        <v>8334</v>
      </c>
      <c r="E975" s="58" t="s">
        <v>8334</v>
      </c>
      <c r="F975" s="59" t="s">
        <v>608</v>
      </c>
    </row>
    <row r="976" customFormat="false" ht="15" hidden="false" customHeight="false" outlineLevel="0" collapsed="false">
      <c r="A976" s="90" t="str">
        <f aca="false">Gov_Map!$H220&amp;""</f>
        <v>—</v>
      </c>
      <c r="B976" s="71" t="s">
        <v>8333</v>
      </c>
      <c r="C976" s="58" t="n">
        <v>220</v>
      </c>
      <c r="D976" s="58" t="s">
        <v>8334</v>
      </c>
      <c r="E976" s="58" t="s">
        <v>8334</v>
      </c>
      <c r="F976" s="59" t="s">
        <v>608</v>
      </c>
    </row>
    <row r="977" customFormat="false" ht="15" hidden="false" customHeight="false" outlineLevel="0" collapsed="false">
      <c r="A977" s="90" t="str">
        <f aca="false">Gov_Map!$H221&amp;""</f>
        <v>—</v>
      </c>
      <c r="B977" s="71" t="s">
        <v>8333</v>
      </c>
      <c r="C977" s="58" t="n">
        <v>221</v>
      </c>
      <c r="D977" s="58" t="s">
        <v>8334</v>
      </c>
      <c r="E977" s="58" t="s">
        <v>8334</v>
      </c>
      <c r="F977" s="59" t="s">
        <v>608</v>
      </c>
    </row>
    <row r="978" customFormat="false" ht="15" hidden="false" customHeight="false" outlineLevel="0" collapsed="false">
      <c r="A978" s="90" t="str">
        <f aca="false">Gov_Map!$H222&amp;""</f>
        <v>—</v>
      </c>
      <c r="B978" s="71" t="s">
        <v>8333</v>
      </c>
      <c r="C978" s="58" t="n">
        <v>222</v>
      </c>
      <c r="D978" s="58" t="s">
        <v>8334</v>
      </c>
      <c r="E978" s="58" t="s">
        <v>8334</v>
      </c>
      <c r="F978" s="59" t="s">
        <v>608</v>
      </c>
    </row>
    <row r="979" customFormat="false" ht="15" hidden="false" customHeight="false" outlineLevel="0" collapsed="false">
      <c r="A979" s="90" t="str">
        <f aca="false">Gov_Map!$H223&amp;""</f>
        <v>—</v>
      </c>
      <c r="B979" s="71" t="s">
        <v>8333</v>
      </c>
      <c r="C979" s="58" t="n">
        <v>223</v>
      </c>
      <c r="D979" s="58" t="s">
        <v>8334</v>
      </c>
      <c r="E979" s="58" t="s">
        <v>8334</v>
      </c>
      <c r="F979" s="59" t="s">
        <v>608</v>
      </c>
    </row>
    <row r="980" customFormat="false" ht="15" hidden="false" customHeight="false" outlineLevel="0" collapsed="false">
      <c r="A980" s="90" t="str">
        <f aca="false">Gov_Map!$H224&amp;""</f>
        <v>—</v>
      </c>
      <c r="B980" s="71" t="s">
        <v>8333</v>
      </c>
      <c r="C980" s="58" t="n">
        <v>224</v>
      </c>
      <c r="D980" s="58" t="s">
        <v>8334</v>
      </c>
      <c r="E980" s="58" t="s">
        <v>8334</v>
      </c>
      <c r="F980" s="59" t="s">
        <v>608</v>
      </c>
    </row>
    <row r="981" customFormat="false" ht="15" hidden="false" customHeight="false" outlineLevel="0" collapsed="false">
      <c r="A981" s="90" t="str">
        <f aca="false">Gov_Map!$H225&amp;""</f>
        <v>—</v>
      </c>
      <c r="B981" s="71" t="s">
        <v>8333</v>
      </c>
      <c r="C981" s="58" t="n">
        <v>225</v>
      </c>
      <c r="D981" s="58" t="s">
        <v>8334</v>
      </c>
      <c r="E981" s="58" t="s">
        <v>8334</v>
      </c>
      <c r="F981" s="59" t="s">
        <v>608</v>
      </c>
    </row>
    <row r="982" customFormat="false" ht="15" hidden="false" customHeight="false" outlineLevel="0" collapsed="false">
      <c r="A982" s="90" t="str">
        <f aca="false">Gov_Map!$H226&amp;""</f>
        <v>—</v>
      </c>
      <c r="B982" s="71" t="s">
        <v>8333</v>
      </c>
      <c r="C982" s="58" t="n">
        <v>226</v>
      </c>
      <c r="D982" s="58" t="s">
        <v>8334</v>
      </c>
      <c r="E982" s="58" t="s">
        <v>8334</v>
      </c>
      <c r="F982" s="59" t="s">
        <v>608</v>
      </c>
    </row>
    <row r="983" customFormat="false" ht="15" hidden="false" customHeight="false" outlineLevel="0" collapsed="false">
      <c r="A983" s="90" t="str">
        <f aca="false">Gov_Map!$H227&amp;""</f>
        <v>—</v>
      </c>
      <c r="B983" s="71" t="s">
        <v>8333</v>
      </c>
      <c r="C983" s="58" t="n">
        <v>227</v>
      </c>
      <c r="D983" s="58" t="s">
        <v>8334</v>
      </c>
      <c r="E983" s="58" t="s">
        <v>8334</v>
      </c>
      <c r="F983" s="59" t="s">
        <v>608</v>
      </c>
    </row>
    <row r="984" customFormat="false" ht="15" hidden="false" customHeight="false" outlineLevel="0" collapsed="false">
      <c r="A984" s="90" t="str">
        <f aca="false">Gov_Map!$H228&amp;""</f>
        <v>—</v>
      </c>
      <c r="B984" s="71" t="s">
        <v>8333</v>
      </c>
      <c r="C984" s="58" t="n">
        <v>228</v>
      </c>
      <c r="D984" s="58" t="s">
        <v>8334</v>
      </c>
      <c r="E984" s="58" t="s">
        <v>8334</v>
      </c>
      <c r="F984" s="59" t="s">
        <v>608</v>
      </c>
    </row>
    <row r="985" customFormat="false" ht="15" hidden="false" customHeight="false" outlineLevel="0" collapsed="false">
      <c r="A985" s="90" t="str">
        <f aca="false">Gov_Map!$H229&amp;""</f>
        <v>—</v>
      </c>
      <c r="B985" s="71" t="s">
        <v>8333</v>
      </c>
      <c r="C985" s="58" t="n">
        <v>229</v>
      </c>
      <c r="D985" s="58" t="s">
        <v>8334</v>
      </c>
      <c r="E985" s="58" t="s">
        <v>8334</v>
      </c>
      <c r="F985" s="59" t="s">
        <v>608</v>
      </c>
    </row>
    <row r="986" customFormat="false" ht="15" hidden="false" customHeight="false" outlineLevel="0" collapsed="false">
      <c r="A986" s="90" t="str">
        <f aca="false">Gov_Map!$H230&amp;""</f>
        <v>—</v>
      </c>
      <c r="B986" s="71" t="s">
        <v>8333</v>
      </c>
      <c r="C986" s="58" t="n">
        <v>230</v>
      </c>
      <c r="D986" s="58" t="s">
        <v>8334</v>
      </c>
      <c r="E986" s="58" t="s">
        <v>8334</v>
      </c>
      <c r="F986" s="59" t="s">
        <v>608</v>
      </c>
    </row>
    <row r="987" customFormat="false" ht="15" hidden="false" customHeight="false" outlineLevel="0" collapsed="false">
      <c r="A987" s="90" t="str">
        <f aca="false">Gov_Map!$H231&amp;""</f>
        <v>SRC_PERF_035</v>
      </c>
      <c r="B987" s="71" t="s">
        <v>8333</v>
      </c>
      <c r="C987" s="58" t="n">
        <v>231</v>
      </c>
      <c r="D987" s="58" t="s">
        <v>8334</v>
      </c>
      <c r="E987" s="58" t="s">
        <v>8334</v>
      </c>
      <c r="F987" s="59" t="s">
        <v>608</v>
      </c>
    </row>
    <row r="988" customFormat="false" ht="15" hidden="false" customHeight="false" outlineLevel="0" collapsed="false">
      <c r="A988" s="90" t="str">
        <f aca="false">Gov_Map!$H232&amp;""</f>
        <v>SRC_PERF_005</v>
      </c>
      <c r="B988" s="71" t="s">
        <v>8333</v>
      </c>
      <c r="C988" s="58" t="n">
        <v>232</v>
      </c>
      <c r="D988" s="58" t="s">
        <v>8334</v>
      </c>
      <c r="E988" s="58" t="s">
        <v>8334</v>
      </c>
      <c r="F988" s="59" t="s">
        <v>608</v>
      </c>
    </row>
    <row r="989" customFormat="false" ht="15" hidden="false" customHeight="false" outlineLevel="0" collapsed="false">
      <c r="A989" s="90" t="str">
        <f aca="false">Gov_Map!$H233&amp;""</f>
        <v>—</v>
      </c>
      <c r="B989" s="71" t="s">
        <v>8333</v>
      </c>
      <c r="C989" s="58" t="n">
        <v>233</v>
      </c>
      <c r="D989" s="58" t="s">
        <v>8334</v>
      </c>
      <c r="E989" s="58" t="s">
        <v>8334</v>
      </c>
      <c r="F989" s="59" t="s">
        <v>608</v>
      </c>
    </row>
    <row r="990" customFormat="false" ht="15" hidden="false" customHeight="false" outlineLevel="0" collapsed="false">
      <c r="A990" s="90" t="str">
        <f aca="false">Gov_Map!$H234&amp;""</f>
        <v>—</v>
      </c>
      <c r="B990" s="71" t="s">
        <v>8333</v>
      </c>
      <c r="C990" s="58" t="n">
        <v>234</v>
      </c>
      <c r="D990" s="58" t="s">
        <v>8334</v>
      </c>
      <c r="E990" s="58" t="s">
        <v>8334</v>
      </c>
      <c r="F990" s="59" t="s">
        <v>608</v>
      </c>
    </row>
    <row r="991" customFormat="false" ht="15" hidden="false" customHeight="false" outlineLevel="0" collapsed="false">
      <c r="A991" s="90" t="str">
        <f aca="false">Gov_Map!$H235&amp;""</f>
        <v>—</v>
      </c>
      <c r="B991" s="71" t="s">
        <v>8333</v>
      </c>
      <c r="C991" s="58" t="n">
        <v>235</v>
      </c>
      <c r="D991" s="58" t="s">
        <v>8334</v>
      </c>
      <c r="E991" s="58" t="s">
        <v>8334</v>
      </c>
      <c r="F991" s="59" t="s">
        <v>608</v>
      </c>
    </row>
    <row r="992" customFormat="false" ht="15" hidden="false" customHeight="false" outlineLevel="0" collapsed="false">
      <c r="A992" s="90" t="str">
        <f aca="false">Gov_Map!$H236&amp;""</f>
        <v>—</v>
      </c>
      <c r="B992" s="71" t="s">
        <v>8333</v>
      </c>
      <c r="C992" s="58" t="n">
        <v>236</v>
      </c>
      <c r="D992" s="58" t="s">
        <v>8334</v>
      </c>
      <c r="E992" s="58" t="s">
        <v>8334</v>
      </c>
      <c r="F992" s="59" t="s">
        <v>608</v>
      </c>
    </row>
    <row r="993" customFormat="false" ht="15" hidden="false" customHeight="false" outlineLevel="0" collapsed="false">
      <c r="A993" s="90" t="str">
        <f aca="false">Gov_Map!$H237&amp;""</f>
        <v>—</v>
      </c>
      <c r="B993" s="71" t="s">
        <v>8333</v>
      </c>
      <c r="C993" s="58" t="n">
        <v>237</v>
      </c>
      <c r="D993" s="58" t="s">
        <v>8334</v>
      </c>
      <c r="E993" s="58" t="s">
        <v>8334</v>
      </c>
      <c r="F993" s="59" t="s">
        <v>608</v>
      </c>
    </row>
    <row r="994" customFormat="false" ht="15" hidden="false" customHeight="false" outlineLevel="0" collapsed="false">
      <c r="A994" s="90" t="str">
        <f aca="false">Gov_Map!$H238&amp;""</f>
        <v>—</v>
      </c>
      <c r="B994" s="71" t="s">
        <v>8333</v>
      </c>
      <c r="C994" s="58" t="n">
        <v>238</v>
      </c>
      <c r="D994" s="58" t="s">
        <v>8334</v>
      </c>
      <c r="E994" s="58" t="s">
        <v>8334</v>
      </c>
      <c r="F994" s="59" t="s">
        <v>608</v>
      </c>
    </row>
    <row r="995" customFormat="false" ht="15" hidden="false" customHeight="false" outlineLevel="0" collapsed="false">
      <c r="A995" s="90" t="str">
        <f aca="false">Gov_Map!$H239&amp;""</f>
        <v>—</v>
      </c>
      <c r="B995" s="71" t="s">
        <v>8333</v>
      </c>
      <c r="C995" s="58" t="n">
        <v>239</v>
      </c>
      <c r="D995" s="58" t="s">
        <v>8334</v>
      </c>
      <c r="E995" s="58" t="s">
        <v>8334</v>
      </c>
      <c r="F995" s="59" t="s">
        <v>608</v>
      </c>
    </row>
    <row r="996" customFormat="false" ht="15" hidden="false" customHeight="false" outlineLevel="0" collapsed="false">
      <c r="A996" s="90" t="str">
        <f aca="false">Gov_Map!$H240&amp;""</f>
        <v>—</v>
      </c>
      <c r="B996" s="71" t="s">
        <v>8333</v>
      </c>
      <c r="C996" s="58" t="n">
        <v>240</v>
      </c>
      <c r="D996" s="58" t="s">
        <v>8334</v>
      </c>
      <c r="E996" s="58" t="s">
        <v>8334</v>
      </c>
      <c r="F996" s="59" t="s">
        <v>608</v>
      </c>
    </row>
    <row r="997" customFormat="false" ht="15" hidden="false" customHeight="false" outlineLevel="0" collapsed="false">
      <c r="A997" s="90" t="str">
        <f aca="false">Gov_Map!$H241&amp;""</f>
        <v>—</v>
      </c>
      <c r="B997" s="71" t="s">
        <v>8333</v>
      </c>
      <c r="C997" s="58" t="n">
        <v>241</v>
      </c>
      <c r="D997" s="58" t="s">
        <v>8334</v>
      </c>
      <c r="E997" s="58" t="s">
        <v>8334</v>
      </c>
      <c r="F997" s="59" t="s">
        <v>608</v>
      </c>
    </row>
    <row r="998" customFormat="false" ht="15" hidden="false" customHeight="false" outlineLevel="0" collapsed="false">
      <c r="A998" s="90" t="str">
        <f aca="false">Gov_Map!$H242&amp;""</f>
        <v>—</v>
      </c>
      <c r="B998" s="71" t="s">
        <v>8333</v>
      </c>
      <c r="C998" s="58" t="n">
        <v>242</v>
      </c>
      <c r="D998" s="58" t="s">
        <v>8334</v>
      </c>
      <c r="E998" s="58" t="s">
        <v>8334</v>
      </c>
      <c r="F998" s="59" t="s">
        <v>608</v>
      </c>
    </row>
    <row r="999" customFormat="false" ht="15" hidden="false" customHeight="false" outlineLevel="0" collapsed="false">
      <c r="A999" s="90" t="str">
        <f aca="false">Gov_Map!$H243&amp;""</f>
        <v>SRC_PERF_018</v>
      </c>
      <c r="B999" s="71" t="s">
        <v>8333</v>
      </c>
      <c r="C999" s="58" t="n">
        <v>243</v>
      </c>
      <c r="D999" s="58" t="s">
        <v>8334</v>
      </c>
      <c r="E999" s="58" t="s">
        <v>8334</v>
      </c>
      <c r="F999" s="59" t="s">
        <v>608</v>
      </c>
    </row>
    <row r="1000" customFormat="false" ht="15" hidden="false" customHeight="false" outlineLevel="0" collapsed="false">
      <c r="A1000" s="90" t="str">
        <f aca="false">Gov_Map!$H244&amp;""</f>
        <v>SRC_PERF_019</v>
      </c>
      <c r="B1000" s="71" t="s">
        <v>8333</v>
      </c>
      <c r="C1000" s="58" t="n">
        <v>244</v>
      </c>
      <c r="D1000" s="58" t="s">
        <v>8334</v>
      </c>
      <c r="E1000" s="58" t="s">
        <v>8334</v>
      </c>
      <c r="F1000" s="59" t="s">
        <v>608</v>
      </c>
    </row>
    <row r="1001" customFormat="false" ht="15" hidden="false" customHeight="false" outlineLevel="0" collapsed="false">
      <c r="A1001" s="90" t="str">
        <f aca="false">Gov_Map!$H245&amp;""</f>
        <v>SRC_PERF_020</v>
      </c>
      <c r="B1001" s="71" t="s">
        <v>8333</v>
      </c>
      <c r="C1001" s="58" t="n">
        <v>245</v>
      </c>
      <c r="D1001" s="58" t="s">
        <v>8334</v>
      </c>
      <c r="E1001" s="58" t="s">
        <v>8334</v>
      </c>
      <c r="F1001" s="59" t="s">
        <v>608</v>
      </c>
    </row>
    <row r="1002" customFormat="false" ht="15" hidden="false" customHeight="false" outlineLevel="0" collapsed="false">
      <c r="A1002" s="90" t="str">
        <f aca="false">Gov_Map!$H246&amp;""</f>
        <v>—</v>
      </c>
      <c r="B1002" s="71" t="s">
        <v>8333</v>
      </c>
      <c r="C1002" s="58" t="n">
        <v>246</v>
      </c>
      <c r="D1002" s="58" t="s">
        <v>8334</v>
      </c>
      <c r="E1002" s="58" t="s">
        <v>8334</v>
      </c>
      <c r="F1002" s="59" t="s">
        <v>608</v>
      </c>
    </row>
    <row r="1003" customFormat="false" ht="15" hidden="false" customHeight="false" outlineLevel="0" collapsed="false">
      <c r="A1003" s="90" t="str">
        <f aca="false">Gov_Map!$H247&amp;""</f>
        <v>—</v>
      </c>
      <c r="B1003" s="71" t="s">
        <v>8333</v>
      </c>
      <c r="C1003" s="58" t="n">
        <v>247</v>
      </c>
      <c r="D1003" s="58" t="s">
        <v>8334</v>
      </c>
      <c r="E1003" s="58" t="s">
        <v>8334</v>
      </c>
      <c r="F1003" s="59" t="s">
        <v>608</v>
      </c>
    </row>
    <row r="1004" customFormat="false" ht="15" hidden="false" customHeight="false" outlineLevel="0" collapsed="false">
      <c r="A1004" s="90" t="str">
        <f aca="false">Gov_Map!$H248&amp;""</f>
        <v>—</v>
      </c>
      <c r="B1004" s="71" t="s">
        <v>8333</v>
      </c>
      <c r="C1004" s="58" t="n">
        <v>248</v>
      </c>
      <c r="D1004" s="58" t="s">
        <v>8334</v>
      </c>
      <c r="E1004" s="58" t="s">
        <v>8334</v>
      </c>
      <c r="F1004" s="59" t="s">
        <v>608</v>
      </c>
    </row>
    <row r="1005" customFormat="false" ht="15" hidden="false" customHeight="false" outlineLevel="0" collapsed="false">
      <c r="A1005" s="90" t="str">
        <f aca="false">Gov_Map!$H249&amp;""</f>
        <v>—</v>
      </c>
      <c r="B1005" s="71" t="s">
        <v>8333</v>
      </c>
      <c r="C1005" s="58" t="n">
        <v>249</v>
      </c>
      <c r="D1005" s="58" t="s">
        <v>8334</v>
      </c>
      <c r="E1005" s="58" t="s">
        <v>8334</v>
      </c>
      <c r="F1005" s="59" t="s">
        <v>608</v>
      </c>
    </row>
    <row r="1006" customFormat="false" ht="15" hidden="false" customHeight="false" outlineLevel="0" collapsed="false">
      <c r="A1006" s="90" t="str">
        <f aca="false">Gov_Map!$H250&amp;""</f>
        <v>—</v>
      </c>
      <c r="B1006" s="71" t="s">
        <v>8333</v>
      </c>
      <c r="C1006" s="58" t="n">
        <v>250</v>
      </c>
      <c r="D1006" s="58" t="s">
        <v>8334</v>
      </c>
      <c r="E1006" s="58" t="s">
        <v>8334</v>
      </c>
      <c r="F1006" s="59" t="s">
        <v>608</v>
      </c>
    </row>
    <row r="1007" customFormat="false" ht="15" hidden="false" customHeight="false" outlineLevel="0" collapsed="false">
      <c r="A1007" s="90" t="str">
        <f aca="false">Gov_Map!$H251&amp;""</f>
        <v>—</v>
      </c>
      <c r="B1007" s="71" t="s">
        <v>8333</v>
      </c>
      <c r="C1007" s="58" t="n">
        <v>251</v>
      </c>
      <c r="D1007" s="58" t="s">
        <v>8334</v>
      </c>
      <c r="E1007" s="58" t="s">
        <v>8334</v>
      </c>
      <c r="F1007" s="59" t="s">
        <v>608</v>
      </c>
    </row>
    <row r="1008" customFormat="false" ht="15" hidden="false" customHeight="false" outlineLevel="0" collapsed="false">
      <c r="A1008" s="90" t="str">
        <f aca="false">Gov_Map!$H252&amp;""</f>
        <v>—</v>
      </c>
      <c r="B1008" s="71" t="s">
        <v>8333</v>
      </c>
      <c r="C1008" s="58" t="n">
        <v>252</v>
      </c>
      <c r="D1008" s="58" t="s">
        <v>8334</v>
      </c>
      <c r="E1008" s="58" t="s">
        <v>8334</v>
      </c>
      <c r="F1008" s="59" t="s">
        <v>608</v>
      </c>
    </row>
    <row r="1009" customFormat="false" ht="15" hidden="false" customHeight="false" outlineLevel="0" collapsed="false">
      <c r="A1009" s="90" t="str">
        <f aca="false">Gov_Map!$H253&amp;""</f>
        <v>—</v>
      </c>
      <c r="B1009" s="71" t="s">
        <v>8333</v>
      </c>
      <c r="C1009" s="58" t="n">
        <v>253</v>
      </c>
      <c r="D1009" s="58" t="s">
        <v>8334</v>
      </c>
      <c r="E1009" s="58" t="s">
        <v>8334</v>
      </c>
      <c r="F1009" s="59" t="s">
        <v>608</v>
      </c>
    </row>
    <row r="1010" customFormat="false" ht="15" hidden="false" customHeight="false" outlineLevel="0" collapsed="false">
      <c r="A1010" s="90" t="str">
        <f aca="false">Gov_Map!$H254&amp;""</f>
        <v>—</v>
      </c>
      <c r="B1010" s="71" t="s">
        <v>8333</v>
      </c>
      <c r="C1010" s="58" t="n">
        <v>254</v>
      </c>
      <c r="D1010" s="58" t="s">
        <v>8334</v>
      </c>
      <c r="E1010" s="58" t="s">
        <v>8334</v>
      </c>
      <c r="F1010" s="59" t="s">
        <v>608</v>
      </c>
    </row>
    <row r="1011" customFormat="false" ht="15" hidden="false" customHeight="false" outlineLevel="0" collapsed="false">
      <c r="A1011" s="90" t="str">
        <f aca="false">Gov_Map!$H255&amp;""</f>
        <v>—</v>
      </c>
      <c r="B1011" s="71" t="s">
        <v>8333</v>
      </c>
      <c r="C1011" s="58" t="n">
        <v>255</v>
      </c>
      <c r="D1011" s="58" t="s">
        <v>8334</v>
      </c>
      <c r="E1011" s="58" t="s">
        <v>8334</v>
      </c>
      <c r="F1011" s="59" t="s">
        <v>608</v>
      </c>
    </row>
    <row r="1012" customFormat="false" ht="15" hidden="false" customHeight="false" outlineLevel="0" collapsed="false">
      <c r="A1012" s="90" t="str">
        <f aca="false">Gov_Map!$H256&amp;""</f>
        <v>—</v>
      </c>
      <c r="B1012" s="71" t="s">
        <v>8333</v>
      </c>
      <c r="C1012" s="58" t="n">
        <v>256</v>
      </c>
      <c r="D1012" s="58" t="s">
        <v>8334</v>
      </c>
      <c r="E1012" s="58" t="s">
        <v>8334</v>
      </c>
      <c r="F1012" s="59" t="s">
        <v>608</v>
      </c>
    </row>
    <row r="1013" customFormat="false" ht="15" hidden="false" customHeight="false" outlineLevel="0" collapsed="false">
      <c r="A1013" s="90" t="str">
        <f aca="false">Gov_Map!$H257&amp;""</f>
        <v>—</v>
      </c>
      <c r="B1013" s="71" t="s">
        <v>8333</v>
      </c>
      <c r="C1013" s="58" t="n">
        <v>257</v>
      </c>
      <c r="D1013" s="58" t="s">
        <v>8334</v>
      </c>
      <c r="E1013" s="58" t="s">
        <v>8334</v>
      </c>
      <c r="F1013" s="59" t="s">
        <v>608</v>
      </c>
    </row>
    <row r="1014" customFormat="false" ht="15" hidden="false" customHeight="false" outlineLevel="0" collapsed="false">
      <c r="A1014" s="90" t="str">
        <f aca="false">Gov_Map!$H258&amp;""</f>
        <v>—</v>
      </c>
      <c r="B1014" s="71" t="s">
        <v>8333</v>
      </c>
      <c r="C1014" s="58" t="n">
        <v>258</v>
      </c>
      <c r="D1014" s="58" t="s">
        <v>8334</v>
      </c>
      <c r="E1014" s="58" t="s">
        <v>8334</v>
      </c>
      <c r="F1014" s="59" t="s">
        <v>608</v>
      </c>
    </row>
    <row r="1015" customFormat="false" ht="15" hidden="false" customHeight="false" outlineLevel="0" collapsed="false">
      <c r="A1015" s="90" t="str">
        <f aca="false">Gov_Map!$H259&amp;""</f>
        <v>—</v>
      </c>
      <c r="B1015" s="71" t="s">
        <v>8333</v>
      </c>
      <c r="C1015" s="58" t="n">
        <v>259</v>
      </c>
      <c r="D1015" s="58" t="s">
        <v>8334</v>
      </c>
      <c r="E1015" s="58" t="s">
        <v>8334</v>
      </c>
      <c r="F1015" s="59" t="s">
        <v>608</v>
      </c>
    </row>
    <row r="1016" customFormat="false" ht="15" hidden="false" customHeight="false" outlineLevel="0" collapsed="false">
      <c r="A1016" s="90" t="str">
        <f aca="false">Gov_Map!$H260&amp;""</f>
        <v>—</v>
      </c>
      <c r="B1016" s="71" t="s">
        <v>8333</v>
      </c>
      <c r="C1016" s="58" t="n">
        <v>260</v>
      </c>
      <c r="D1016" s="58" t="s">
        <v>8334</v>
      </c>
      <c r="E1016" s="58" t="s">
        <v>8334</v>
      </c>
      <c r="F1016" s="59" t="s">
        <v>608</v>
      </c>
    </row>
    <row r="1017" customFormat="false" ht="15" hidden="false" customHeight="false" outlineLevel="0" collapsed="false">
      <c r="A1017" s="90" t="str">
        <f aca="false">Gov_Map!$H261&amp;""</f>
        <v>—</v>
      </c>
      <c r="B1017" s="71" t="s">
        <v>8333</v>
      </c>
      <c r="C1017" s="58" t="n">
        <v>261</v>
      </c>
      <c r="D1017" s="58" t="s">
        <v>8334</v>
      </c>
      <c r="E1017" s="58" t="s">
        <v>8334</v>
      </c>
      <c r="F1017" s="59" t="s">
        <v>608</v>
      </c>
    </row>
    <row r="1018" customFormat="false" ht="15" hidden="false" customHeight="false" outlineLevel="0" collapsed="false">
      <c r="A1018" s="90" t="str">
        <f aca="false">Gov_Map!$H262&amp;""</f>
        <v>—</v>
      </c>
      <c r="B1018" s="71" t="s">
        <v>8333</v>
      </c>
      <c r="C1018" s="58" t="n">
        <v>262</v>
      </c>
      <c r="D1018" s="58" t="s">
        <v>8334</v>
      </c>
      <c r="E1018" s="58" t="s">
        <v>8334</v>
      </c>
      <c r="F1018" s="59" t="s">
        <v>608</v>
      </c>
    </row>
    <row r="1019" customFormat="false" ht="15" hidden="false" customHeight="false" outlineLevel="0" collapsed="false">
      <c r="A1019" s="90" t="str">
        <f aca="false">Gov_Map!$H263&amp;""</f>
        <v>—</v>
      </c>
      <c r="B1019" s="71" t="s">
        <v>8333</v>
      </c>
      <c r="C1019" s="58" t="n">
        <v>263</v>
      </c>
      <c r="D1019" s="58" t="s">
        <v>8334</v>
      </c>
      <c r="E1019" s="58" t="s">
        <v>8334</v>
      </c>
      <c r="F1019" s="59" t="s">
        <v>608</v>
      </c>
    </row>
    <row r="1020" customFormat="false" ht="15" hidden="false" customHeight="false" outlineLevel="0" collapsed="false">
      <c r="A1020" s="90" t="str">
        <f aca="false">Gov_Map!$H264&amp;""</f>
        <v>—</v>
      </c>
      <c r="B1020" s="71" t="s">
        <v>8333</v>
      </c>
      <c r="C1020" s="58" t="n">
        <v>264</v>
      </c>
      <c r="D1020" s="58" t="s">
        <v>8334</v>
      </c>
      <c r="E1020" s="58" t="s">
        <v>8334</v>
      </c>
      <c r="F1020" s="59" t="s">
        <v>608</v>
      </c>
    </row>
    <row r="1021" customFormat="false" ht="15" hidden="false" customHeight="false" outlineLevel="0" collapsed="false">
      <c r="A1021" s="90" t="str">
        <f aca="false">Gov_Map!$H265&amp;""</f>
        <v>—</v>
      </c>
      <c r="B1021" s="71" t="s">
        <v>8333</v>
      </c>
      <c r="C1021" s="58" t="n">
        <v>265</v>
      </c>
      <c r="D1021" s="58" t="s">
        <v>8334</v>
      </c>
      <c r="E1021" s="58" t="s">
        <v>8334</v>
      </c>
      <c r="F1021" s="59" t="s">
        <v>608</v>
      </c>
    </row>
    <row r="1022" customFormat="false" ht="15" hidden="false" customHeight="false" outlineLevel="0" collapsed="false">
      <c r="A1022" s="90" t="str">
        <f aca="false">Gov_Map!$H266&amp;""</f>
        <v>—</v>
      </c>
      <c r="B1022" s="71" t="s">
        <v>8333</v>
      </c>
      <c r="C1022" s="58" t="n">
        <v>266</v>
      </c>
      <c r="D1022" s="58" t="s">
        <v>8334</v>
      </c>
      <c r="E1022" s="58" t="s">
        <v>8334</v>
      </c>
      <c r="F1022" s="59" t="s">
        <v>608</v>
      </c>
    </row>
    <row r="1023" customFormat="false" ht="15" hidden="false" customHeight="false" outlineLevel="0" collapsed="false">
      <c r="A1023" s="90" t="str">
        <f aca="false">Gov_Map!$H267&amp;""</f>
        <v>—</v>
      </c>
      <c r="B1023" s="71" t="s">
        <v>8333</v>
      </c>
      <c r="C1023" s="58" t="n">
        <v>267</v>
      </c>
      <c r="D1023" s="58" t="s">
        <v>8334</v>
      </c>
      <c r="E1023" s="58" t="s">
        <v>8334</v>
      </c>
      <c r="F1023" s="59" t="s">
        <v>608</v>
      </c>
    </row>
    <row r="1024" customFormat="false" ht="15" hidden="false" customHeight="false" outlineLevel="0" collapsed="false">
      <c r="A1024" s="90" t="str">
        <f aca="false">Gov_Map!$H268&amp;""</f>
        <v>—</v>
      </c>
      <c r="B1024" s="71" t="s">
        <v>8333</v>
      </c>
      <c r="C1024" s="58" t="n">
        <v>268</v>
      </c>
      <c r="D1024" s="58" t="s">
        <v>8334</v>
      </c>
      <c r="E1024" s="58" t="s">
        <v>8334</v>
      </c>
      <c r="F1024" s="59" t="s">
        <v>608</v>
      </c>
    </row>
    <row r="1025" customFormat="false" ht="15" hidden="false" customHeight="false" outlineLevel="0" collapsed="false">
      <c r="A1025" s="90" t="str">
        <f aca="false">Gov_Map!$H269&amp;""</f>
        <v>—</v>
      </c>
      <c r="B1025" s="71" t="s">
        <v>8333</v>
      </c>
      <c r="C1025" s="58" t="n">
        <v>269</v>
      </c>
      <c r="D1025" s="58" t="s">
        <v>8334</v>
      </c>
      <c r="E1025" s="58" t="s">
        <v>8334</v>
      </c>
      <c r="F1025" s="59" t="s">
        <v>608</v>
      </c>
    </row>
    <row r="1026" customFormat="false" ht="15" hidden="false" customHeight="false" outlineLevel="0" collapsed="false">
      <c r="A1026" s="90" t="str">
        <f aca="false">Gov_Map!$H270&amp;""</f>
        <v>—</v>
      </c>
      <c r="B1026" s="71" t="s">
        <v>8333</v>
      </c>
      <c r="C1026" s="58" t="n">
        <v>270</v>
      </c>
      <c r="D1026" s="58" t="s">
        <v>8334</v>
      </c>
      <c r="E1026" s="58" t="s">
        <v>8334</v>
      </c>
      <c r="F1026" s="59" t="s">
        <v>608</v>
      </c>
    </row>
    <row r="1027" customFormat="false" ht="15" hidden="false" customHeight="false" outlineLevel="0" collapsed="false">
      <c r="A1027" s="90" t="str">
        <f aca="false">Gov_Map!$H271&amp;""</f>
        <v>—</v>
      </c>
      <c r="B1027" s="71" t="s">
        <v>8333</v>
      </c>
      <c r="C1027" s="58" t="n">
        <v>271</v>
      </c>
      <c r="D1027" s="58" t="s">
        <v>8334</v>
      </c>
      <c r="E1027" s="58" t="s">
        <v>8334</v>
      </c>
      <c r="F1027" s="59" t="s">
        <v>608</v>
      </c>
    </row>
    <row r="1028" customFormat="false" ht="15" hidden="false" customHeight="false" outlineLevel="0" collapsed="false">
      <c r="A1028" s="90" t="str">
        <f aca="false">Gov_Map!$H272&amp;""</f>
        <v>—</v>
      </c>
      <c r="B1028" s="71" t="s">
        <v>8333</v>
      </c>
      <c r="C1028" s="58" t="n">
        <v>272</v>
      </c>
      <c r="D1028" s="58" t="s">
        <v>8334</v>
      </c>
      <c r="E1028" s="58" t="s">
        <v>8334</v>
      </c>
      <c r="F1028" s="59" t="s">
        <v>608</v>
      </c>
    </row>
    <row r="1029" customFormat="false" ht="15" hidden="false" customHeight="false" outlineLevel="0" collapsed="false">
      <c r="A1029" s="90" t="str">
        <f aca="false">Gov_Map!$H273&amp;""</f>
        <v>—</v>
      </c>
      <c r="B1029" s="71" t="s">
        <v>8333</v>
      </c>
      <c r="C1029" s="58" t="n">
        <v>273</v>
      </c>
      <c r="D1029" s="58" t="s">
        <v>8334</v>
      </c>
      <c r="E1029" s="58" t="s">
        <v>8334</v>
      </c>
      <c r="F1029" s="59" t="s">
        <v>608</v>
      </c>
    </row>
    <row r="1030" customFormat="false" ht="15" hidden="false" customHeight="false" outlineLevel="0" collapsed="false">
      <c r="A1030" s="90" t="str">
        <f aca="false">Gov_Map!$H274&amp;""</f>
        <v>—</v>
      </c>
      <c r="B1030" s="71" t="s">
        <v>8333</v>
      </c>
      <c r="C1030" s="58" t="n">
        <v>274</v>
      </c>
      <c r="D1030" s="58" t="s">
        <v>8334</v>
      </c>
      <c r="E1030" s="58" t="s">
        <v>8334</v>
      </c>
      <c r="F1030" s="59" t="s">
        <v>608</v>
      </c>
    </row>
    <row r="1031" customFormat="false" ht="15" hidden="false" customHeight="false" outlineLevel="0" collapsed="false">
      <c r="A1031" s="90" t="str">
        <f aca="false">Gov_Map!$H275&amp;""</f>
        <v>—</v>
      </c>
      <c r="B1031" s="71" t="s">
        <v>8333</v>
      </c>
      <c r="C1031" s="58" t="n">
        <v>275</v>
      </c>
      <c r="D1031" s="58" t="s">
        <v>8334</v>
      </c>
      <c r="E1031" s="58" t="s">
        <v>8334</v>
      </c>
      <c r="F1031" s="59" t="s">
        <v>608</v>
      </c>
    </row>
    <row r="1032" customFormat="false" ht="15" hidden="false" customHeight="false" outlineLevel="0" collapsed="false">
      <c r="A1032" s="90" t="str">
        <f aca="false">Gov_Map!$H276&amp;""</f>
        <v>—</v>
      </c>
      <c r="B1032" s="71" t="s">
        <v>8333</v>
      </c>
      <c r="C1032" s="58" t="n">
        <v>276</v>
      </c>
      <c r="D1032" s="58" t="s">
        <v>8334</v>
      </c>
      <c r="E1032" s="58" t="s">
        <v>8334</v>
      </c>
      <c r="F1032" s="59" t="s">
        <v>608</v>
      </c>
    </row>
    <row r="1033" customFormat="false" ht="15" hidden="false" customHeight="false" outlineLevel="0" collapsed="false">
      <c r="A1033" s="90" t="str">
        <f aca="false">Gov_Map!$H277&amp;""</f>
        <v>—</v>
      </c>
      <c r="B1033" s="71" t="s">
        <v>8333</v>
      </c>
      <c r="C1033" s="58" t="n">
        <v>277</v>
      </c>
      <c r="D1033" s="58" t="s">
        <v>8334</v>
      </c>
      <c r="E1033" s="58" t="s">
        <v>8334</v>
      </c>
      <c r="F1033" s="59" t="s">
        <v>608</v>
      </c>
    </row>
    <row r="1034" customFormat="false" ht="15" hidden="false" customHeight="false" outlineLevel="0" collapsed="false">
      <c r="A1034" s="90" t="str">
        <f aca="false">Gov_Map!$H278&amp;""</f>
        <v>—</v>
      </c>
      <c r="B1034" s="71" t="s">
        <v>8333</v>
      </c>
      <c r="C1034" s="58" t="n">
        <v>278</v>
      </c>
      <c r="D1034" s="58" t="s">
        <v>8334</v>
      </c>
      <c r="E1034" s="58" t="s">
        <v>8334</v>
      </c>
      <c r="F1034" s="59" t="s">
        <v>608</v>
      </c>
    </row>
    <row r="1035" customFormat="false" ht="15" hidden="false" customHeight="false" outlineLevel="0" collapsed="false">
      <c r="A1035" s="90" t="str">
        <f aca="false">Gov_Map!$H279&amp;""</f>
        <v>—</v>
      </c>
      <c r="B1035" s="71" t="s">
        <v>8333</v>
      </c>
      <c r="C1035" s="58" t="n">
        <v>279</v>
      </c>
      <c r="D1035" s="58" t="s">
        <v>8334</v>
      </c>
      <c r="E1035" s="58" t="s">
        <v>8334</v>
      </c>
      <c r="F1035" s="59" t="s">
        <v>608</v>
      </c>
    </row>
    <row r="1036" customFormat="false" ht="15" hidden="false" customHeight="false" outlineLevel="0" collapsed="false">
      <c r="A1036" s="90" t="str">
        <f aca="false">Gov_Map!$H280&amp;""</f>
        <v>—</v>
      </c>
      <c r="B1036" s="71" t="s">
        <v>8333</v>
      </c>
      <c r="C1036" s="58" t="n">
        <v>280</v>
      </c>
      <c r="D1036" s="58" t="s">
        <v>8334</v>
      </c>
      <c r="E1036" s="58" t="s">
        <v>8334</v>
      </c>
      <c r="F1036" s="59" t="s">
        <v>608</v>
      </c>
    </row>
    <row r="1037" customFormat="false" ht="15" hidden="false" customHeight="false" outlineLevel="0" collapsed="false">
      <c r="A1037" s="90" t="str">
        <f aca="false">Gov_Map!$H281&amp;""</f>
        <v>—</v>
      </c>
      <c r="B1037" s="71" t="s">
        <v>8333</v>
      </c>
      <c r="C1037" s="58" t="n">
        <v>281</v>
      </c>
      <c r="D1037" s="58" t="s">
        <v>8334</v>
      </c>
      <c r="E1037" s="58" t="s">
        <v>8334</v>
      </c>
      <c r="F1037" s="59" t="s">
        <v>608</v>
      </c>
    </row>
    <row r="1038" customFormat="false" ht="15" hidden="false" customHeight="false" outlineLevel="0" collapsed="false">
      <c r="A1038" s="90" t="str">
        <f aca="false">Gov_Map!$H282&amp;""</f>
        <v>—</v>
      </c>
      <c r="B1038" s="71" t="s">
        <v>8333</v>
      </c>
      <c r="C1038" s="58" t="n">
        <v>282</v>
      </c>
      <c r="D1038" s="58" t="s">
        <v>8334</v>
      </c>
      <c r="E1038" s="58" t="s">
        <v>8334</v>
      </c>
      <c r="F1038" s="59" t="s">
        <v>608</v>
      </c>
    </row>
    <row r="1039" customFormat="false" ht="15" hidden="false" customHeight="false" outlineLevel="0" collapsed="false">
      <c r="A1039" s="90" t="str">
        <f aca="false">Gov_Map!$H283&amp;""</f>
        <v>—</v>
      </c>
      <c r="B1039" s="71" t="s">
        <v>8333</v>
      </c>
      <c r="C1039" s="58" t="n">
        <v>283</v>
      </c>
      <c r="D1039" s="58" t="s">
        <v>8334</v>
      </c>
      <c r="E1039" s="58" t="s">
        <v>8334</v>
      </c>
      <c r="F1039" s="59" t="s">
        <v>608</v>
      </c>
    </row>
    <row r="1040" customFormat="false" ht="15" hidden="false" customHeight="false" outlineLevel="0" collapsed="false">
      <c r="A1040" s="90" t="str">
        <f aca="false">Gov_Map!$H284&amp;""</f>
        <v>—</v>
      </c>
      <c r="B1040" s="71" t="s">
        <v>8333</v>
      </c>
      <c r="C1040" s="58" t="n">
        <v>284</v>
      </c>
      <c r="D1040" s="58" t="s">
        <v>8334</v>
      </c>
      <c r="E1040" s="58" t="s">
        <v>8334</v>
      </c>
      <c r="F1040" s="59" t="s">
        <v>608</v>
      </c>
    </row>
    <row r="1041" customFormat="false" ht="15" hidden="false" customHeight="false" outlineLevel="0" collapsed="false">
      <c r="A1041" s="90" t="str">
        <f aca="false">Gov_Map!$H285&amp;""</f>
        <v>—</v>
      </c>
      <c r="B1041" s="71" t="s">
        <v>8333</v>
      </c>
      <c r="C1041" s="58" t="n">
        <v>285</v>
      </c>
      <c r="D1041" s="58" t="s">
        <v>8334</v>
      </c>
      <c r="E1041" s="58" t="s">
        <v>8334</v>
      </c>
      <c r="F1041" s="59" t="s">
        <v>608</v>
      </c>
    </row>
    <row r="1042" customFormat="false" ht="15" hidden="false" customHeight="false" outlineLevel="0" collapsed="false">
      <c r="A1042" s="90" t="str">
        <f aca="false">Gov_Map!$H286&amp;""</f>
        <v>—</v>
      </c>
      <c r="B1042" s="71" t="s">
        <v>8333</v>
      </c>
      <c r="C1042" s="58" t="n">
        <v>286</v>
      </c>
      <c r="D1042" s="58" t="s">
        <v>8334</v>
      </c>
      <c r="E1042" s="58" t="s">
        <v>8334</v>
      </c>
      <c r="F1042" s="59" t="s">
        <v>608</v>
      </c>
    </row>
    <row r="1043" customFormat="false" ht="15" hidden="false" customHeight="false" outlineLevel="0" collapsed="false">
      <c r="A1043" s="90" t="str">
        <f aca="false">Gov_Map!$H287&amp;""</f>
        <v>—</v>
      </c>
      <c r="B1043" s="71" t="s">
        <v>8333</v>
      </c>
      <c r="C1043" s="58" t="n">
        <v>287</v>
      </c>
      <c r="D1043" s="58" t="s">
        <v>8334</v>
      </c>
      <c r="E1043" s="58" t="s">
        <v>8334</v>
      </c>
      <c r="F1043" s="59" t="s">
        <v>608</v>
      </c>
    </row>
    <row r="1044" customFormat="false" ht="15" hidden="false" customHeight="false" outlineLevel="0" collapsed="false">
      <c r="A1044" s="90" t="str">
        <f aca="false">Gov_Map!$H288&amp;""</f>
        <v>—</v>
      </c>
      <c r="B1044" s="71" t="s">
        <v>8333</v>
      </c>
      <c r="C1044" s="58" t="n">
        <v>288</v>
      </c>
      <c r="D1044" s="58" t="s">
        <v>8334</v>
      </c>
      <c r="E1044" s="58" t="s">
        <v>8334</v>
      </c>
      <c r="F1044" s="59" t="s">
        <v>608</v>
      </c>
    </row>
    <row r="1045" customFormat="false" ht="15" hidden="false" customHeight="false" outlineLevel="0" collapsed="false">
      <c r="A1045" s="90" t="str">
        <f aca="false">Gov_Map!$H289&amp;""</f>
        <v>—</v>
      </c>
      <c r="B1045" s="71" t="s">
        <v>8333</v>
      </c>
      <c r="C1045" s="58" t="n">
        <v>289</v>
      </c>
      <c r="D1045" s="58" t="s">
        <v>8334</v>
      </c>
      <c r="E1045" s="58" t="s">
        <v>8334</v>
      </c>
      <c r="F1045" s="59" t="s">
        <v>608</v>
      </c>
    </row>
    <row r="1046" customFormat="false" ht="15" hidden="false" customHeight="false" outlineLevel="0" collapsed="false">
      <c r="A1046" s="90" t="str">
        <f aca="false">Gov_Map!$H290&amp;""</f>
        <v>—</v>
      </c>
      <c r="B1046" s="71" t="s">
        <v>8333</v>
      </c>
      <c r="C1046" s="58" t="n">
        <v>290</v>
      </c>
      <c r="D1046" s="58" t="s">
        <v>8334</v>
      </c>
      <c r="E1046" s="58" t="s">
        <v>8334</v>
      </c>
      <c r="F1046" s="59" t="s">
        <v>608</v>
      </c>
    </row>
    <row r="1047" customFormat="false" ht="15" hidden="false" customHeight="false" outlineLevel="0" collapsed="false">
      <c r="A1047" s="90" t="str">
        <f aca="false">Gov_Map!$H291&amp;""</f>
        <v>—</v>
      </c>
      <c r="B1047" s="71" t="s">
        <v>8333</v>
      </c>
      <c r="C1047" s="58" t="n">
        <v>291</v>
      </c>
      <c r="D1047" s="58" t="s">
        <v>8334</v>
      </c>
      <c r="E1047" s="58" t="s">
        <v>8334</v>
      </c>
      <c r="F1047" s="59" t="s">
        <v>608</v>
      </c>
    </row>
    <row r="1048" customFormat="false" ht="15" hidden="false" customHeight="false" outlineLevel="0" collapsed="false">
      <c r="A1048" s="90" t="str">
        <f aca="false">Gov_Map!$H292&amp;""</f>
        <v>—</v>
      </c>
      <c r="B1048" s="71" t="s">
        <v>8333</v>
      </c>
      <c r="C1048" s="58" t="n">
        <v>292</v>
      </c>
      <c r="D1048" s="58" t="s">
        <v>8334</v>
      </c>
      <c r="E1048" s="58" t="s">
        <v>8334</v>
      </c>
      <c r="F1048" s="59" t="s">
        <v>608</v>
      </c>
    </row>
    <row r="1049" customFormat="false" ht="15" hidden="false" customHeight="false" outlineLevel="0" collapsed="false">
      <c r="A1049" s="90" t="str">
        <f aca="false">Gov_Map!$H293&amp;""</f>
        <v>—</v>
      </c>
      <c r="B1049" s="71" t="s">
        <v>8333</v>
      </c>
      <c r="C1049" s="58" t="n">
        <v>293</v>
      </c>
      <c r="D1049" s="58" t="s">
        <v>8334</v>
      </c>
      <c r="E1049" s="58" t="s">
        <v>8334</v>
      </c>
      <c r="F1049" s="59" t="s">
        <v>608</v>
      </c>
    </row>
    <row r="1050" customFormat="false" ht="15" hidden="false" customHeight="false" outlineLevel="0" collapsed="false">
      <c r="A1050" s="90" t="str">
        <f aca="false">Gov_Map!$H294&amp;""</f>
        <v>—</v>
      </c>
      <c r="B1050" s="71" t="s">
        <v>8333</v>
      </c>
      <c r="C1050" s="58" t="n">
        <v>294</v>
      </c>
      <c r="D1050" s="58" t="s">
        <v>8334</v>
      </c>
      <c r="E1050" s="58" t="s">
        <v>8334</v>
      </c>
      <c r="F1050" s="59" t="s">
        <v>608</v>
      </c>
    </row>
    <row r="1051" customFormat="false" ht="15" hidden="false" customHeight="false" outlineLevel="0" collapsed="false">
      <c r="A1051" s="90" t="str">
        <f aca="false">Gov_Map!$H295&amp;""</f>
        <v>—</v>
      </c>
      <c r="B1051" s="71" t="s">
        <v>8333</v>
      </c>
      <c r="C1051" s="58" t="n">
        <v>295</v>
      </c>
      <c r="D1051" s="58" t="s">
        <v>8334</v>
      </c>
      <c r="E1051" s="58" t="s">
        <v>8334</v>
      </c>
      <c r="F1051" s="59" t="s">
        <v>608</v>
      </c>
    </row>
    <row r="1052" customFormat="false" ht="15" hidden="false" customHeight="false" outlineLevel="0" collapsed="false">
      <c r="A1052" s="90" t="str">
        <f aca="false">Gov_Map!$H296&amp;""</f>
        <v>—</v>
      </c>
      <c r="B1052" s="71" t="s">
        <v>8333</v>
      </c>
      <c r="C1052" s="58" t="n">
        <v>296</v>
      </c>
      <c r="D1052" s="58" t="s">
        <v>8334</v>
      </c>
      <c r="E1052" s="58" t="s">
        <v>8334</v>
      </c>
      <c r="F1052" s="59" t="s">
        <v>608</v>
      </c>
    </row>
    <row r="1053" customFormat="false" ht="15" hidden="false" customHeight="false" outlineLevel="0" collapsed="false">
      <c r="A1053" s="90" t="str">
        <f aca="false">Gov_Map!$H297&amp;""</f>
        <v>—</v>
      </c>
      <c r="B1053" s="71" t="s">
        <v>8333</v>
      </c>
      <c r="C1053" s="58" t="n">
        <v>297</v>
      </c>
      <c r="D1053" s="58" t="s">
        <v>8334</v>
      </c>
      <c r="E1053" s="58" t="s">
        <v>8334</v>
      </c>
      <c r="F1053" s="59" t="s">
        <v>608</v>
      </c>
    </row>
    <row r="1054" customFormat="false" ht="15" hidden="false" customHeight="false" outlineLevel="0" collapsed="false">
      <c r="A1054" s="90" t="str">
        <f aca="false">Gov_Map!$H298&amp;""</f>
        <v>—</v>
      </c>
      <c r="B1054" s="71" t="s">
        <v>8333</v>
      </c>
      <c r="C1054" s="58" t="n">
        <v>298</v>
      </c>
      <c r="D1054" s="58" t="s">
        <v>8334</v>
      </c>
      <c r="E1054" s="58" t="s">
        <v>8334</v>
      </c>
      <c r="F1054" s="59" t="s">
        <v>608</v>
      </c>
    </row>
    <row r="1055" customFormat="false" ht="15" hidden="false" customHeight="false" outlineLevel="0" collapsed="false">
      <c r="A1055" s="90" t="str">
        <f aca="false">Gov_Map!$H299&amp;""</f>
        <v>—</v>
      </c>
      <c r="B1055" s="71" t="s">
        <v>8333</v>
      </c>
      <c r="C1055" s="58" t="n">
        <v>299</v>
      </c>
      <c r="D1055" s="58" t="s">
        <v>8334</v>
      </c>
      <c r="E1055" s="58" t="s">
        <v>8334</v>
      </c>
      <c r="F1055" s="59" t="s">
        <v>608</v>
      </c>
    </row>
    <row r="1056" customFormat="false" ht="15" hidden="false" customHeight="false" outlineLevel="0" collapsed="false">
      <c r="A1056" s="90" t="str">
        <f aca="false">Gov_Map!$H300&amp;""</f>
        <v>—</v>
      </c>
      <c r="B1056" s="71" t="s">
        <v>8333</v>
      </c>
      <c r="C1056" s="58" t="n">
        <v>300</v>
      </c>
      <c r="D1056" s="58" t="s">
        <v>8334</v>
      </c>
      <c r="E1056" s="58" t="s">
        <v>8334</v>
      </c>
      <c r="F1056" s="59" t="s">
        <v>608</v>
      </c>
    </row>
    <row r="1057" customFormat="false" ht="15" hidden="false" customHeight="false" outlineLevel="0" collapsed="false">
      <c r="A1057" s="90" t="str">
        <f aca="false">Gov_Map!$H301&amp;""</f>
        <v>—</v>
      </c>
      <c r="B1057" s="71" t="s">
        <v>8333</v>
      </c>
      <c r="C1057" s="58" t="n">
        <v>301</v>
      </c>
      <c r="D1057" s="58" t="s">
        <v>8334</v>
      </c>
      <c r="E1057" s="58" t="s">
        <v>8334</v>
      </c>
      <c r="F1057" s="59" t="s">
        <v>608</v>
      </c>
    </row>
    <row r="1058" customFormat="false" ht="15" hidden="false" customHeight="false" outlineLevel="0" collapsed="false">
      <c r="A1058" s="90" t="str">
        <f aca="false">Gov_Map!$H302&amp;""</f>
        <v>—</v>
      </c>
      <c r="B1058" s="71" t="s">
        <v>8333</v>
      </c>
      <c r="C1058" s="58" t="n">
        <v>302</v>
      </c>
      <c r="D1058" s="58" t="s">
        <v>8334</v>
      </c>
      <c r="E1058" s="58" t="s">
        <v>8334</v>
      </c>
      <c r="F1058" s="59" t="s">
        <v>608</v>
      </c>
    </row>
    <row r="1059" customFormat="false" ht="15" hidden="false" customHeight="false" outlineLevel="0" collapsed="false">
      <c r="A1059" s="90" t="str">
        <f aca="false">Gov_Map!$H303&amp;""</f>
        <v>—</v>
      </c>
      <c r="B1059" s="71" t="s">
        <v>8333</v>
      </c>
      <c r="C1059" s="58" t="n">
        <v>303</v>
      </c>
      <c r="D1059" s="58" t="s">
        <v>8334</v>
      </c>
      <c r="E1059" s="58" t="s">
        <v>8334</v>
      </c>
      <c r="F1059" s="59" t="s">
        <v>608</v>
      </c>
    </row>
    <row r="1060" customFormat="false" ht="15" hidden="false" customHeight="false" outlineLevel="0" collapsed="false">
      <c r="A1060" s="90" t="str">
        <f aca="false">Gov_Map!$H304&amp;""</f>
        <v>—</v>
      </c>
      <c r="B1060" s="71" t="s">
        <v>8333</v>
      </c>
      <c r="C1060" s="58" t="n">
        <v>304</v>
      </c>
      <c r="D1060" s="58" t="s">
        <v>8334</v>
      </c>
      <c r="E1060" s="58" t="s">
        <v>8334</v>
      </c>
      <c r="F1060" s="59" t="s">
        <v>608</v>
      </c>
    </row>
    <row r="1061" customFormat="false" ht="15" hidden="false" customHeight="false" outlineLevel="0" collapsed="false">
      <c r="A1061" s="90" t="str">
        <f aca="false">Gov_Map!$H305&amp;""</f>
        <v>—</v>
      </c>
      <c r="B1061" s="71" t="s">
        <v>8333</v>
      </c>
      <c r="C1061" s="58" t="n">
        <v>305</v>
      </c>
      <c r="D1061" s="58" t="s">
        <v>8334</v>
      </c>
      <c r="E1061" s="58" t="s">
        <v>8334</v>
      </c>
      <c r="F1061" s="59" t="s">
        <v>608</v>
      </c>
    </row>
    <row r="1062" customFormat="false" ht="15" hidden="false" customHeight="false" outlineLevel="0" collapsed="false">
      <c r="A1062" s="90" t="str">
        <f aca="false">Gov_Map!$H306&amp;""</f>
        <v>SRC_HAR_001</v>
      </c>
      <c r="B1062" s="71" t="s">
        <v>8333</v>
      </c>
      <c r="C1062" s="58" t="n">
        <v>306</v>
      </c>
      <c r="D1062" s="58" t="s">
        <v>8334</v>
      </c>
      <c r="E1062" s="58" t="s">
        <v>8334</v>
      </c>
      <c r="F1062" s="59" t="s">
        <v>608</v>
      </c>
    </row>
    <row r="1063" customFormat="false" ht="15" hidden="false" customHeight="false" outlineLevel="0" collapsed="false">
      <c r="A1063" s="90" t="str">
        <f aca="false">Gov_Map!$H307&amp;""</f>
        <v>SRC_HAR_002</v>
      </c>
      <c r="B1063" s="71" t="s">
        <v>8333</v>
      </c>
      <c r="C1063" s="58" t="n">
        <v>307</v>
      </c>
      <c r="D1063" s="58" t="s">
        <v>8334</v>
      </c>
      <c r="E1063" s="58" t="s">
        <v>8334</v>
      </c>
      <c r="F1063" s="59" t="s">
        <v>608</v>
      </c>
    </row>
    <row r="1064" customFormat="false" ht="15" hidden="false" customHeight="false" outlineLevel="0" collapsed="false">
      <c r="A1064" s="90" t="str">
        <f aca="false">Gov_Map!$H308&amp;""</f>
        <v>SRC_PERF_041</v>
      </c>
      <c r="B1064" s="71" t="s">
        <v>8333</v>
      </c>
      <c r="C1064" s="58" t="n">
        <v>308</v>
      </c>
      <c r="D1064" s="58" t="s">
        <v>8334</v>
      </c>
      <c r="E1064" s="58" t="s">
        <v>8334</v>
      </c>
      <c r="F1064" s="59" t="s">
        <v>608</v>
      </c>
    </row>
    <row r="1065" customFormat="false" ht="15" hidden="false" customHeight="false" outlineLevel="0" collapsed="false">
      <c r="A1065" s="90" t="str">
        <f aca="false">Gov_Map!$H309&amp;""</f>
        <v>—</v>
      </c>
      <c r="B1065" s="71" t="s">
        <v>8333</v>
      </c>
      <c r="C1065" s="58" t="n">
        <v>309</v>
      </c>
      <c r="D1065" s="58" t="s">
        <v>8334</v>
      </c>
      <c r="E1065" s="58" t="s">
        <v>8334</v>
      </c>
      <c r="F1065" s="59" t="s">
        <v>608</v>
      </c>
    </row>
    <row r="1066" customFormat="false" ht="15" hidden="false" customHeight="false" outlineLevel="0" collapsed="false">
      <c r="A1066" s="90" t="str">
        <f aca="false">Gov_Map!$H310&amp;""</f>
        <v>SRC_PERF_009</v>
      </c>
      <c r="B1066" s="71" t="s">
        <v>8333</v>
      </c>
      <c r="C1066" s="58" t="n">
        <v>310</v>
      </c>
      <c r="D1066" s="58" t="s">
        <v>8334</v>
      </c>
      <c r="E1066" s="58" t="s">
        <v>8334</v>
      </c>
      <c r="F1066" s="59" t="s">
        <v>608</v>
      </c>
    </row>
    <row r="1067" customFormat="false" ht="15" hidden="false" customHeight="false" outlineLevel="0" collapsed="false">
      <c r="A1067" s="90" t="str">
        <f aca="false">Gov_Map!$H311&amp;""</f>
        <v>SRC_PERF_009</v>
      </c>
      <c r="B1067" s="71" t="s">
        <v>8333</v>
      </c>
      <c r="C1067" s="58" t="n">
        <v>311</v>
      </c>
      <c r="D1067" s="58" t="s">
        <v>8334</v>
      </c>
      <c r="E1067" s="58" t="s">
        <v>8334</v>
      </c>
      <c r="F1067" s="59" t="s">
        <v>608</v>
      </c>
    </row>
    <row r="1068" customFormat="false" ht="15" hidden="false" customHeight="false" outlineLevel="0" collapsed="false">
      <c r="A1068" s="90" t="str">
        <f aca="false">Gov_Map!$H312&amp;""</f>
        <v>SRC_PERF_009</v>
      </c>
      <c r="B1068" s="71" t="s">
        <v>8333</v>
      </c>
      <c r="C1068" s="58" t="n">
        <v>312</v>
      </c>
      <c r="D1068" s="58" t="s">
        <v>8334</v>
      </c>
      <c r="E1068" s="58" t="s">
        <v>8334</v>
      </c>
      <c r="F1068" s="59" t="s">
        <v>608</v>
      </c>
    </row>
    <row r="1069" customFormat="false" ht="15" hidden="false" customHeight="false" outlineLevel="0" collapsed="false">
      <c r="A1069" s="90" t="str">
        <f aca="false">Gov_Map!$H313&amp;""</f>
        <v>SRC_PERF_009</v>
      </c>
      <c r="B1069" s="71" t="s">
        <v>8333</v>
      </c>
      <c r="C1069" s="58" t="n">
        <v>313</v>
      </c>
      <c r="D1069" s="58" t="s">
        <v>8334</v>
      </c>
      <c r="E1069" s="58" t="s">
        <v>8334</v>
      </c>
      <c r="F1069" s="59" t="s">
        <v>608</v>
      </c>
    </row>
    <row r="1070" customFormat="false" ht="15" hidden="false" customHeight="false" outlineLevel="0" collapsed="false">
      <c r="A1070" s="90" t="str">
        <f aca="false">Gov_Map!$H314&amp;""</f>
        <v>SRC_PERF_009</v>
      </c>
      <c r="B1070" s="71" t="s">
        <v>8333</v>
      </c>
      <c r="C1070" s="58" t="n">
        <v>314</v>
      </c>
      <c r="D1070" s="58" t="s">
        <v>8334</v>
      </c>
      <c r="E1070" s="58" t="s">
        <v>8334</v>
      </c>
      <c r="F1070" s="59" t="s">
        <v>608</v>
      </c>
    </row>
    <row r="1071" customFormat="false" ht="15" hidden="false" customHeight="false" outlineLevel="0" collapsed="false">
      <c r="A1071" s="90" t="str">
        <f aca="false">Gov_Map!$H315&amp;""</f>
        <v>SRC_PERF_010</v>
      </c>
      <c r="B1071" s="71" t="s">
        <v>8333</v>
      </c>
      <c r="C1071" s="58" t="n">
        <v>315</v>
      </c>
      <c r="D1071" s="58" t="s">
        <v>8334</v>
      </c>
      <c r="E1071" s="58" t="s">
        <v>8334</v>
      </c>
      <c r="F1071" s="59" t="s">
        <v>608</v>
      </c>
    </row>
    <row r="1072" customFormat="false" ht="15" hidden="false" customHeight="false" outlineLevel="0" collapsed="false">
      <c r="A1072" s="90" t="str">
        <f aca="false">Gov_Map!$H316&amp;""</f>
        <v>SRC_PERF_010</v>
      </c>
      <c r="B1072" s="71" t="s">
        <v>8333</v>
      </c>
      <c r="C1072" s="58" t="n">
        <v>316</v>
      </c>
      <c r="D1072" s="58" t="s">
        <v>8334</v>
      </c>
      <c r="E1072" s="58" t="s">
        <v>8334</v>
      </c>
      <c r="F1072" s="59" t="s">
        <v>608</v>
      </c>
    </row>
    <row r="1073" customFormat="false" ht="15" hidden="false" customHeight="false" outlineLevel="0" collapsed="false">
      <c r="A1073" s="90" t="str">
        <f aca="false">Gov_Map!$H317&amp;""</f>
        <v>SRC_PERF_010</v>
      </c>
      <c r="B1073" s="71" t="s">
        <v>8333</v>
      </c>
      <c r="C1073" s="58" t="n">
        <v>317</v>
      </c>
      <c r="D1073" s="58" t="s">
        <v>8334</v>
      </c>
      <c r="E1073" s="58" t="s">
        <v>8334</v>
      </c>
      <c r="F1073" s="59" t="s">
        <v>608</v>
      </c>
    </row>
    <row r="1074" customFormat="false" ht="15" hidden="false" customHeight="false" outlineLevel="0" collapsed="false">
      <c r="A1074" s="90" t="str">
        <f aca="false">Gov_Map!$H318&amp;""</f>
        <v>SRC_PERF_010</v>
      </c>
      <c r="B1074" s="71" t="s">
        <v>8333</v>
      </c>
      <c r="C1074" s="58" t="n">
        <v>318</v>
      </c>
      <c r="D1074" s="58" t="s">
        <v>8334</v>
      </c>
      <c r="E1074" s="58" t="s">
        <v>8334</v>
      </c>
      <c r="F1074" s="59" t="s">
        <v>608</v>
      </c>
    </row>
    <row r="1075" customFormat="false" ht="15" hidden="false" customHeight="false" outlineLevel="0" collapsed="false">
      <c r="A1075" s="90" t="str">
        <f aca="false">Gov_Map!$H319&amp;""</f>
        <v>SRC_PERF_010</v>
      </c>
      <c r="B1075" s="71" t="s">
        <v>8333</v>
      </c>
      <c r="C1075" s="58" t="n">
        <v>319</v>
      </c>
      <c r="D1075" s="58" t="s">
        <v>8334</v>
      </c>
      <c r="E1075" s="58" t="s">
        <v>8334</v>
      </c>
      <c r="F1075" s="59" t="s">
        <v>608</v>
      </c>
    </row>
    <row r="1076" customFormat="false" ht="15" hidden="false" customHeight="false" outlineLevel="0" collapsed="false">
      <c r="A1076" s="90" t="str">
        <f aca="false">Gov_Map!$H320&amp;""</f>
        <v>SRC_PERF_004</v>
      </c>
      <c r="B1076" s="71" t="s">
        <v>8333</v>
      </c>
      <c r="C1076" s="58" t="n">
        <v>320</v>
      </c>
      <c r="D1076" s="58" t="s">
        <v>8334</v>
      </c>
      <c r="E1076" s="58" t="s">
        <v>8334</v>
      </c>
      <c r="F1076" s="59" t="s">
        <v>608</v>
      </c>
    </row>
    <row r="1077" customFormat="false" ht="15" hidden="false" customHeight="false" outlineLevel="0" collapsed="false">
      <c r="A1077" s="90" t="str">
        <f aca="false">Gov_Map!$H321&amp;""</f>
        <v>SRC_PERF_004</v>
      </c>
      <c r="B1077" s="71" t="s">
        <v>8333</v>
      </c>
      <c r="C1077" s="58" t="n">
        <v>321</v>
      </c>
      <c r="D1077" s="58" t="s">
        <v>8334</v>
      </c>
      <c r="E1077" s="58" t="s">
        <v>8334</v>
      </c>
      <c r="F1077" s="59" t="s">
        <v>608</v>
      </c>
    </row>
    <row r="1078" customFormat="false" ht="15" hidden="false" customHeight="false" outlineLevel="0" collapsed="false">
      <c r="A1078" s="90" t="str">
        <f aca="false">Gov_Map!$H322&amp;""</f>
        <v>SRC_PERF_004</v>
      </c>
      <c r="B1078" s="71" t="s">
        <v>8333</v>
      </c>
      <c r="C1078" s="58" t="n">
        <v>322</v>
      </c>
      <c r="D1078" s="58" t="s">
        <v>8334</v>
      </c>
      <c r="E1078" s="58" t="s">
        <v>8334</v>
      </c>
      <c r="F1078" s="59" t="s">
        <v>608</v>
      </c>
    </row>
    <row r="1079" customFormat="false" ht="15" hidden="false" customHeight="false" outlineLevel="0" collapsed="false">
      <c r="A1079" s="90" t="str">
        <f aca="false">Gov_Map!$H323&amp;""</f>
        <v>SRC_PERF_004</v>
      </c>
      <c r="B1079" s="71" t="s">
        <v>8333</v>
      </c>
      <c r="C1079" s="58" t="n">
        <v>323</v>
      </c>
      <c r="D1079" s="58" t="s">
        <v>8334</v>
      </c>
      <c r="E1079" s="58" t="s">
        <v>8334</v>
      </c>
      <c r="F1079" s="59" t="s">
        <v>608</v>
      </c>
    </row>
    <row r="1080" customFormat="false" ht="15" hidden="false" customHeight="false" outlineLevel="0" collapsed="false">
      <c r="A1080" s="90" t="str">
        <f aca="false">Gov_Map!$H324&amp;""</f>
        <v>SRC_PERF_004</v>
      </c>
      <c r="B1080" s="71" t="s">
        <v>8333</v>
      </c>
      <c r="C1080" s="58" t="n">
        <v>324</v>
      </c>
      <c r="D1080" s="58" t="s">
        <v>8334</v>
      </c>
      <c r="E1080" s="58" t="s">
        <v>8334</v>
      </c>
      <c r="F1080" s="59" t="s">
        <v>608</v>
      </c>
    </row>
    <row r="1081" customFormat="false" ht="15" hidden="false" customHeight="false" outlineLevel="0" collapsed="false">
      <c r="A1081" s="90" t="str">
        <f aca="false">Gov_Map!$H325&amp;""</f>
        <v>SRC_PERF_001</v>
      </c>
      <c r="B1081" s="71" t="s">
        <v>8333</v>
      </c>
      <c r="C1081" s="58" t="n">
        <v>325</v>
      </c>
      <c r="D1081" s="58" t="s">
        <v>8334</v>
      </c>
      <c r="E1081" s="58" t="s">
        <v>8334</v>
      </c>
      <c r="F1081" s="59" t="s">
        <v>608</v>
      </c>
    </row>
    <row r="1082" customFormat="false" ht="15" hidden="false" customHeight="false" outlineLevel="0" collapsed="false">
      <c r="A1082" s="90" t="str">
        <f aca="false">Gov_Map!$H326&amp;""</f>
        <v>SRC_PERF_001</v>
      </c>
      <c r="B1082" s="71" t="s">
        <v>8333</v>
      </c>
      <c r="C1082" s="58" t="n">
        <v>326</v>
      </c>
      <c r="D1082" s="58" t="s">
        <v>8334</v>
      </c>
      <c r="E1082" s="58" t="s">
        <v>8334</v>
      </c>
      <c r="F1082" s="59" t="s">
        <v>608</v>
      </c>
    </row>
    <row r="1083" customFormat="false" ht="15" hidden="false" customHeight="false" outlineLevel="0" collapsed="false">
      <c r="A1083" s="90" t="str">
        <f aca="false">Gov_Map!$H327&amp;""</f>
        <v>SRC_PERF_001</v>
      </c>
      <c r="B1083" s="71" t="s">
        <v>8333</v>
      </c>
      <c r="C1083" s="58" t="n">
        <v>327</v>
      </c>
      <c r="D1083" s="58" t="s">
        <v>8334</v>
      </c>
      <c r="E1083" s="58" t="s">
        <v>8334</v>
      </c>
      <c r="F1083" s="59" t="s">
        <v>608</v>
      </c>
    </row>
    <row r="1084" customFormat="false" ht="15" hidden="false" customHeight="false" outlineLevel="0" collapsed="false">
      <c r="A1084" s="90" t="str">
        <f aca="false">Gov_Map!$H328&amp;""</f>
        <v>SRC_PERF_001</v>
      </c>
      <c r="B1084" s="71" t="s">
        <v>8333</v>
      </c>
      <c r="C1084" s="58" t="n">
        <v>328</v>
      </c>
      <c r="D1084" s="58" t="s">
        <v>8334</v>
      </c>
      <c r="E1084" s="58" t="s">
        <v>8334</v>
      </c>
      <c r="F1084" s="59" t="s">
        <v>608</v>
      </c>
    </row>
    <row r="1085" customFormat="false" ht="15" hidden="false" customHeight="false" outlineLevel="0" collapsed="false">
      <c r="A1085" s="90" t="str">
        <f aca="false">Gov_Map!$H329&amp;""</f>
        <v>SRC_PERF_001</v>
      </c>
      <c r="B1085" s="71" t="s">
        <v>8333</v>
      </c>
      <c r="C1085" s="58" t="n">
        <v>329</v>
      </c>
      <c r="D1085" s="58" t="s">
        <v>8334</v>
      </c>
      <c r="E1085" s="58" t="s">
        <v>8334</v>
      </c>
      <c r="F1085" s="59" t="s">
        <v>608</v>
      </c>
    </row>
    <row r="1086" customFormat="false" ht="15" hidden="false" customHeight="false" outlineLevel="0" collapsed="false">
      <c r="A1086" s="90" t="str">
        <f aca="false">Gov_Map!$H330&amp;""</f>
        <v>SRC_PERF_002</v>
      </c>
      <c r="B1086" s="71" t="s">
        <v>8333</v>
      </c>
      <c r="C1086" s="58" t="n">
        <v>330</v>
      </c>
      <c r="D1086" s="58" t="s">
        <v>8334</v>
      </c>
      <c r="E1086" s="58" t="s">
        <v>8334</v>
      </c>
      <c r="F1086" s="59" t="s">
        <v>608</v>
      </c>
    </row>
    <row r="1087" customFormat="false" ht="15" hidden="false" customHeight="false" outlineLevel="0" collapsed="false">
      <c r="A1087" s="90" t="str">
        <f aca="false">Gov_Map!$H331&amp;""</f>
        <v>SRC_PERF_002</v>
      </c>
      <c r="B1087" s="71" t="s">
        <v>8333</v>
      </c>
      <c r="C1087" s="58" t="n">
        <v>331</v>
      </c>
      <c r="D1087" s="58" t="s">
        <v>8334</v>
      </c>
      <c r="E1087" s="58" t="s">
        <v>8334</v>
      </c>
      <c r="F1087" s="59" t="s">
        <v>608</v>
      </c>
    </row>
    <row r="1088" customFormat="false" ht="15" hidden="false" customHeight="false" outlineLevel="0" collapsed="false">
      <c r="A1088" s="90" t="str">
        <f aca="false">Gov_Map!$H332&amp;""</f>
        <v>SRC_PERF_002</v>
      </c>
      <c r="B1088" s="71" t="s">
        <v>8333</v>
      </c>
      <c r="C1088" s="58" t="n">
        <v>332</v>
      </c>
      <c r="D1088" s="58" t="s">
        <v>8334</v>
      </c>
      <c r="E1088" s="58" t="s">
        <v>8334</v>
      </c>
      <c r="F1088" s="59" t="s">
        <v>608</v>
      </c>
    </row>
    <row r="1089" customFormat="false" ht="15" hidden="false" customHeight="false" outlineLevel="0" collapsed="false">
      <c r="A1089" s="90" t="str">
        <f aca="false">Gov_Map!$H333&amp;""</f>
        <v>SRC_PERF_002</v>
      </c>
      <c r="B1089" s="71" t="s">
        <v>8333</v>
      </c>
      <c r="C1089" s="58" t="n">
        <v>333</v>
      </c>
      <c r="D1089" s="58" t="s">
        <v>8334</v>
      </c>
      <c r="E1089" s="58" t="s">
        <v>8334</v>
      </c>
      <c r="F1089" s="59" t="s">
        <v>608</v>
      </c>
    </row>
    <row r="1090" customFormat="false" ht="15" hidden="false" customHeight="false" outlineLevel="0" collapsed="false">
      <c r="A1090" s="90" t="str">
        <f aca="false">Gov_Map!$H334&amp;""</f>
        <v>SRC_PERF_002</v>
      </c>
      <c r="B1090" s="71" t="s">
        <v>8333</v>
      </c>
      <c r="C1090" s="58" t="n">
        <v>334</v>
      </c>
      <c r="D1090" s="58" t="s">
        <v>8334</v>
      </c>
      <c r="E1090" s="58" t="s">
        <v>8334</v>
      </c>
      <c r="F1090" s="59" t="s">
        <v>608</v>
      </c>
    </row>
    <row r="1091" customFormat="false" ht="15" hidden="false" customHeight="false" outlineLevel="0" collapsed="false">
      <c r="A1091" s="90" t="str">
        <f aca="false">Gov_Map!$H335&amp;""</f>
        <v>SRC_PERF_014</v>
      </c>
      <c r="B1091" s="71" t="s">
        <v>8333</v>
      </c>
      <c r="C1091" s="58" t="n">
        <v>335</v>
      </c>
      <c r="D1091" s="58" t="s">
        <v>8334</v>
      </c>
      <c r="E1091" s="58" t="s">
        <v>8334</v>
      </c>
      <c r="F1091" s="59" t="s">
        <v>608</v>
      </c>
    </row>
    <row r="1092" customFormat="false" ht="15" hidden="false" customHeight="false" outlineLevel="0" collapsed="false">
      <c r="A1092" s="90" t="str">
        <f aca="false">Gov_Map!$H336&amp;""</f>
        <v>SRC_PERF_014</v>
      </c>
      <c r="B1092" s="71" t="s">
        <v>8333</v>
      </c>
      <c r="C1092" s="58" t="n">
        <v>336</v>
      </c>
      <c r="D1092" s="58" t="s">
        <v>8334</v>
      </c>
      <c r="E1092" s="58" t="s">
        <v>8334</v>
      </c>
      <c r="F1092" s="59" t="s">
        <v>608</v>
      </c>
    </row>
    <row r="1093" customFormat="false" ht="15" hidden="false" customHeight="false" outlineLevel="0" collapsed="false">
      <c r="A1093" s="90" t="str">
        <f aca="false">Gov_Map!$H337&amp;""</f>
        <v>SRC_PERF_014</v>
      </c>
      <c r="B1093" s="71" t="s">
        <v>8333</v>
      </c>
      <c r="C1093" s="58" t="n">
        <v>337</v>
      </c>
      <c r="D1093" s="58" t="s">
        <v>8334</v>
      </c>
      <c r="E1093" s="58" t="s">
        <v>8334</v>
      </c>
      <c r="F1093" s="59" t="s">
        <v>608</v>
      </c>
    </row>
    <row r="1094" customFormat="false" ht="15" hidden="false" customHeight="false" outlineLevel="0" collapsed="false">
      <c r="A1094" s="90" t="str">
        <f aca="false">Gov_Map!$H338&amp;""</f>
        <v>SRC_PERF_014</v>
      </c>
      <c r="B1094" s="71" t="s">
        <v>8333</v>
      </c>
      <c r="C1094" s="58" t="n">
        <v>338</v>
      </c>
      <c r="D1094" s="58" t="s">
        <v>8334</v>
      </c>
      <c r="E1094" s="58" t="s">
        <v>8334</v>
      </c>
      <c r="F1094" s="59" t="s">
        <v>608</v>
      </c>
    </row>
    <row r="1095" customFormat="false" ht="15" hidden="false" customHeight="false" outlineLevel="0" collapsed="false">
      <c r="A1095" s="90" t="str">
        <f aca="false">Gov_Map!$H339&amp;""</f>
        <v>SRC_PERF_014</v>
      </c>
      <c r="B1095" s="71" t="s">
        <v>8333</v>
      </c>
      <c r="C1095" s="58" t="n">
        <v>339</v>
      </c>
      <c r="D1095" s="58" t="s">
        <v>8334</v>
      </c>
      <c r="E1095" s="58" t="s">
        <v>8334</v>
      </c>
      <c r="F1095" s="59" t="s">
        <v>608</v>
      </c>
    </row>
    <row r="1096" customFormat="false" ht="15" hidden="false" customHeight="false" outlineLevel="0" collapsed="false">
      <c r="A1096" s="90" t="str">
        <f aca="false">Gov_Map!$H340&amp;""</f>
        <v>SRC_PERF_015</v>
      </c>
      <c r="B1096" s="71" t="s">
        <v>8333</v>
      </c>
      <c r="C1096" s="58" t="n">
        <v>340</v>
      </c>
      <c r="D1096" s="58" t="s">
        <v>8334</v>
      </c>
      <c r="E1096" s="58" t="s">
        <v>8334</v>
      </c>
      <c r="F1096" s="59" t="s">
        <v>608</v>
      </c>
    </row>
    <row r="1097" customFormat="false" ht="15" hidden="false" customHeight="false" outlineLevel="0" collapsed="false">
      <c r="A1097" s="90" t="str">
        <f aca="false">Gov_Map!$H341&amp;""</f>
        <v>SRC_PERF_015</v>
      </c>
      <c r="B1097" s="71" t="s">
        <v>8333</v>
      </c>
      <c r="C1097" s="58" t="n">
        <v>341</v>
      </c>
      <c r="D1097" s="58" t="s">
        <v>8334</v>
      </c>
      <c r="E1097" s="58" t="s">
        <v>8334</v>
      </c>
      <c r="F1097" s="59" t="s">
        <v>608</v>
      </c>
    </row>
    <row r="1098" customFormat="false" ht="15" hidden="false" customHeight="false" outlineLevel="0" collapsed="false">
      <c r="A1098" s="90" t="str">
        <f aca="false">Gov_Map!$H342&amp;""</f>
        <v>SRC_PERF_015</v>
      </c>
      <c r="B1098" s="71" t="s">
        <v>8333</v>
      </c>
      <c r="C1098" s="58" t="n">
        <v>342</v>
      </c>
      <c r="D1098" s="58" t="s">
        <v>8334</v>
      </c>
      <c r="E1098" s="58" t="s">
        <v>8334</v>
      </c>
      <c r="F1098" s="59" t="s">
        <v>608</v>
      </c>
    </row>
    <row r="1099" customFormat="false" ht="15" hidden="false" customHeight="false" outlineLevel="0" collapsed="false">
      <c r="A1099" s="90" t="str">
        <f aca="false">Gov_Map!$H343&amp;""</f>
        <v>SRC_PERF_015</v>
      </c>
      <c r="B1099" s="71" t="s">
        <v>8333</v>
      </c>
      <c r="C1099" s="58" t="n">
        <v>343</v>
      </c>
      <c r="D1099" s="58" t="s">
        <v>8334</v>
      </c>
      <c r="E1099" s="58" t="s">
        <v>8334</v>
      </c>
      <c r="F1099" s="59" t="s">
        <v>608</v>
      </c>
    </row>
    <row r="1100" customFormat="false" ht="15" hidden="false" customHeight="false" outlineLevel="0" collapsed="false">
      <c r="A1100" s="90" t="str">
        <f aca="false">Gov_Map!$H344&amp;""</f>
        <v>SRC_PERF_015</v>
      </c>
      <c r="B1100" s="71" t="s">
        <v>8333</v>
      </c>
      <c r="C1100" s="58" t="n">
        <v>344</v>
      </c>
      <c r="D1100" s="58" t="s">
        <v>8334</v>
      </c>
      <c r="E1100" s="58" t="s">
        <v>8334</v>
      </c>
      <c r="F1100" s="59" t="s">
        <v>608</v>
      </c>
    </row>
    <row r="1101" customFormat="false" ht="15" hidden="false" customHeight="false" outlineLevel="0" collapsed="false">
      <c r="A1101" s="90" t="str">
        <f aca="false">Gov_Map!$H345&amp;""</f>
        <v>SRC_PERF_042</v>
      </c>
      <c r="B1101" s="71" t="s">
        <v>8333</v>
      </c>
      <c r="C1101" s="58" t="n">
        <v>345</v>
      </c>
      <c r="D1101" s="58" t="s">
        <v>8334</v>
      </c>
      <c r="E1101" s="58" t="s">
        <v>8334</v>
      </c>
      <c r="F1101" s="59" t="s">
        <v>608</v>
      </c>
    </row>
    <row r="1102" customFormat="false" ht="15" hidden="false" customHeight="false" outlineLevel="0" collapsed="false">
      <c r="A1102" s="90" t="str">
        <f aca="false">Gov_Map!$H346&amp;""</f>
        <v>SRC_PERF_009</v>
      </c>
      <c r="B1102" s="71" t="s">
        <v>8333</v>
      </c>
      <c r="C1102" s="58" t="n">
        <v>346</v>
      </c>
      <c r="D1102" s="58" t="s">
        <v>8334</v>
      </c>
      <c r="E1102" s="58" t="s">
        <v>8334</v>
      </c>
      <c r="F1102" s="59" t="s">
        <v>608</v>
      </c>
    </row>
    <row r="1103" customFormat="false" ht="15" hidden="false" customHeight="false" outlineLevel="0" collapsed="false">
      <c r="A1103" s="90" t="str">
        <f aca="false">Gov_Map!$H347&amp;""</f>
        <v>SRC_PERF_009</v>
      </c>
      <c r="B1103" s="71" t="s">
        <v>8333</v>
      </c>
      <c r="C1103" s="58" t="n">
        <v>347</v>
      </c>
      <c r="D1103" s="58" t="s">
        <v>8334</v>
      </c>
      <c r="E1103" s="58" t="s">
        <v>8334</v>
      </c>
      <c r="F1103" s="59" t="s">
        <v>608</v>
      </c>
    </row>
    <row r="1104" customFormat="false" ht="15" hidden="false" customHeight="false" outlineLevel="0" collapsed="false">
      <c r="A1104" s="90" t="str">
        <f aca="false">Gov_Map!$H348&amp;""</f>
        <v>SRC_PERF_009</v>
      </c>
      <c r="B1104" s="71" t="s">
        <v>8333</v>
      </c>
      <c r="C1104" s="58" t="n">
        <v>348</v>
      </c>
      <c r="D1104" s="58" t="s">
        <v>8334</v>
      </c>
      <c r="E1104" s="58" t="s">
        <v>8334</v>
      </c>
      <c r="F1104" s="59" t="s">
        <v>608</v>
      </c>
    </row>
    <row r="1105" customFormat="false" ht="15" hidden="false" customHeight="false" outlineLevel="0" collapsed="false">
      <c r="A1105" s="90" t="str">
        <f aca="false">Gov_Map!$H349&amp;""</f>
        <v>SRC_PERF_009</v>
      </c>
      <c r="B1105" s="71" t="s">
        <v>8333</v>
      </c>
      <c r="C1105" s="58" t="n">
        <v>349</v>
      </c>
      <c r="D1105" s="58" t="s">
        <v>8334</v>
      </c>
      <c r="E1105" s="58" t="s">
        <v>8334</v>
      </c>
      <c r="F1105" s="59" t="s">
        <v>608</v>
      </c>
    </row>
    <row r="1106" customFormat="false" ht="15" hidden="false" customHeight="false" outlineLevel="0" collapsed="false">
      <c r="A1106" s="90" t="str">
        <f aca="false">Gov_Map!$H350&amp;""</f>
        <v>—</v>
      </c>
      <c r="B1106" s="71" t="s">
        <v>8333</v>
      </c>
      <c r="C1106" s="58" t="n">
        <v>350</v>
      </c>
      <c r="D1106" s="58" t="s">
        <v>8334</v>
      </c>
      <c r="E1106" s="58" t="s">
        <v>8334</v>
      </c>
      <c r="F1106" s="59" t="s">
        <v>608</v>
      </c>
    </row>
    <row r="1107" customFormat="false" ht="15" hidden="false" customHeight="false" outlineLevel="0" collapsed="false">
      <c r="A1107" s="90" t="str">
        <f aca="false">Gov_Map!$H351&amp;""</f>
        <v>—</v>
      </c>
      <c r="B1107" s="71" t="s">
        <v>8333</v>
      </c>
      <c r="C1107" s="58" t="n">
        <v>351</v>
      </c>
      <c r="D1107" s="58" t="s">
        <v>8334</v>
      </c>
      <c r="E1107" s="58" t="s">
        <v>8334</v>
      </c>
      <c r="F1107" s="59" t="s">
        <v>608</v>
      </c>
    </row>
    <row r="1108" customFormat="false" ht="15" hidden="false" customHeight="false" outlineLevel="0" collapsed="false">
      <c r="A1108" s="90" t="str">
        <f aca="false">Gov_Map!$H352&amp;""</f>
        <v>—</v>
      </c>
      <c r="B1108" s="71" t="s">
        <v>8333</v>
      </c>
      <c r="C1108" s="58" t="n">
        <v>352</v>
      </c>
      <c r="D1108" s="58" t="s">
        <v>8334</v>
      </c>
      <c r="E1108" s="58" t="s">
        <v>8334</v>
      </c>
      <c r="F1108" s="59" t="s">
        <v>608</v>
      </c>
    </row>
    <row r="1109" customFormat="false" ht="15" hidden="false" customHeight="false" outlineLevel="0" collapsed="false">
      <c r="A1109" s="90" t="str">
        <f aca="false">Gov_Map!$H353&amp;""</f>
        <v>—</v>
      </c>
      <c r="B1109" s="71" t="s">
        <v>8333</v>
      </c>
      <c r="C1109" s="58" t="n">
        <v>353</v>
      </c>
      <c r="D1109" s="58" t="s">
        <v>8334</v>
      </c>
      <c r="E1109" s="58" t="s">
        <v>8334</v>
      </c>
      <c r="F1109" s="59" t="s">
        <v>608</v>
      </c>
    </row>
    <row r="1110" customFormat="false" ht="15" hidden="false" customHeight="false" outlineLevel="0" collapsed="false">
      <c r="A1110" s="90" t="str">
        <f aca="false">Gov_Map!$H354&amp;""</f>
        <v>—</v>
      </c>
      <c r="B1110" s="71" t="s">
        <v>8333</v>
      </c>
      <c r="C1110" s="58" t="n">
        <v>354</v>
      </c>
      <c r="D1110" s="58" t="s">
        <v>8334</v>
      </c>
      <c r="E1110" s="58" t="s">
        <v>8334</v>
      </c>
      <c r="F1110" s="59" t="s">
        <v>608</v>
      </c>
    </row>
    <row r="1111" customFormat="false" ht="15" hidden="false" customHeight="false" outlineLevel="0" collapsed="false">
      <c r="A1111" s="90" t="str">
        <f aca="false">Gov_Map!$H355&amp;""</f>
        <v>—</v>
      </c>
      <c r="B1111" s="71" t="s">
        <v>8333</v>
      </c>
      <c r="C1111" s="58" t="n">
        <v>355</v>
      </c>
      <c r="D1111" s="58" t="s">
        <v>8334</v>
      </c>
      <c r="E1111" s="58" t="s">
        <v>8334</v>
      </c>
      <c r="F1111" s="59" t="s">
        <v>608</v>
      </c>
    </row>
    <row r="1112" customFormat="false" ht="15" hidden="false" customHeight="false" outlineLevel="0" collapsed="false">
      <c r="A1112" s="90" t="str">
        <f aca="false">Gov_Map!$H356&amp;""</f>
        <v>—</v>
      </c>
      <c r="B1112" s="71" t="s">
        <v>8333</v>
      </c>
      <c r="C1112" s="58" t="n">
        <v>356</v>
      </c>
      <c r="D1112" s="58" t="s">
        <v>8334</v>
      </c>
      <c r="E1112" s="58" t="s">
        <v>8334</v>
      </c>
      <c r="F1112" s="59" t="s">
        <v>608</v>
      </c>
    </row>
    <row r="1113" customFormat="false" ht="15" hidden="false" customHeight="false" outlineLevel="0" collapsed="false">
      <c r="A1113" s="90" t="str">
        <f aca="false">Gov_Map!$H357&amp;""</f>
        <v>—</v>
      </c>
      <c r="B1113" s="71" t="s">
        <v>8333</v>
      </c>
      <c r="C1113" s="58" t="n">
        <v>357</v>
      </c>
      <c r="D1113" s="58" t="s">
        <v>8334</v>
      </c>
      <c r="E1113" s="58" t="s">
        <v>8334</v>
      </c>
      <c r="F1113" s="59" t="s">
        <v>608</v>
      </c>
    </row>
    <row r="1114" customFormat="false" ht="15" hidden="false" customHeight="false" outlineLevel="0" collapsed="false">
      <c r="A1114" s="90" t="str">
        <f aca="false">Gov_Map!$H358&amp;""</f>
        <v>—</v>
      </c>
      <c r="B1114" s="71" t="s">
        <v>8333</v>
      </c>
      <c r="C1114" s="58" t="n">
        <v>358</v>
      </c>
      <c r="D1114" s="58" t="s">
        <v>8334</v>
      </c>
      <c r="E1114" s="58" t="s">
        <v>8334</v>
      </c>
      <c r="F1114" s="59" t="s">
        <v>608</v>
      </c>
    </row>
    <row r="1115" customFormat="false" ht="15" hidden="false" customHeight="false" outlineLevel="0" collapsed="false">
      <c r="A1115" s="90" t="str">
        <f aca="false">Gov_Map!$H359&amp;""</f>
        <v>—</v>
      </c>
      <c r="B1115" s="71" t="s">
        <v>8333</v>
      </c>
      <c r="C1115" s="58" t="n">
        <v>359</v>
      </c>
      <c r="D1115" s="58" t="s">
        <v>8334</v>
      </c>
      <c r="E1115" s="58" t="s">
        <v>8334</v>
      </c>
      <c r="F1115" s="59" t="s">
        <v>608</v>
      </c>
    </row>
    <row r="1116" customFormat="false" ht="15" hidden="false" customHeight="false" outlineLevel="0" collapsed="false">
      <c r="A1116" s="90" t="str">
        <f aca="false">Gov_Map!$H360&amp;""</f>
        <v>—</v>
      </c>
      <c r="B1116" s="71" t="s">
        <v>8333</v>
      </c>
      <c r="C1116" s="58" t="n">
        <v>360</v>
      </c>
      <c r="D1116" s="58" t="s">
        <v>8334</v>
      </c>
      <c r="E1116" s="58" t="s">
        <v>8334</v>
      </c>
      <c r="F1116" s="59" t="s">
        <v>608</v>
      </c>
    </row>
    <row r="1117" customFormat="false" ht="15" hidden="false" customHeight="false" outlineLevel="0" collapsed="false">
      <c r="A1117" s="90" t="str">
        <f aca="false">Gov_Map!$H361&amp;""</f>
        <v>SRC_MOD_020</v>
      </c>
      <c r="B1117" s="71" t="s">
        <v>8333</v>
      </c>
      <c r="C1117" s="58" t="n">
        <v>361</v>
      </c>
      <c r="D1117" s="58" t="s">
        <v>8334</v>
      </c>
      <c r="E1117" s="58" t="s">
        <v>8334</v>
      </c>
      <c r="F1117" s="59" t="s">
        <v>608</v>
      </c>
    </row>
    <row r="1118" customFormat="false" ht="15" hidden="false" customHeight="false" outlineLevel="0" collapsed="false">
      <c r="A1118" s="90" t="str">
        <f aca="false">Gov_Map!$H362&amp;""</f>
        <v>SRC_MOD_021</v>
      </c>
      <c r="B1118" s="71" t="s">
        <v>8333</v>
      </c>
      <c r="C1118" s="58" t="n">
        <v>362</v>
      </c>
      <c r="D1118" s="58" t="s">
        <v>8334</v>
      </c>
      <c r="E1118" s="58" t="s">
        <v>8334</v>
      </c>
      <c r="F1118" s="59" t="s">
        <v>608</v>
      </c>
    </row>
    <row r="1119" customFormat="false" ht="15" hidden="false" customHeight="false" outlineLevel="0" collapsed="false">
      <c r="A1119" s="90" t="str">
        <f aca="false">Gov_Map!$H363&amp;""</f>
        <v>SRC_MOD_022</v>
      </c>
      <c r="B1119" s="71" t="s">
        <v>8333</v>
      </c>
      <c r="C1119" s="58" t="n">
        <v>363</v>
      </c>
      <c r="D1119" s="58" t="s">
        <v>8334</v>
      </c>
      <c r="E1119" s="58" t="s">
        <v>8334</v>
      </c>
      <c r="F1119" s="59" t="s">
        <v>608</v>
      </c>
    </row>
    <row r="1120" customFormat="false" ht="15" hidden="false" customHeight="false" outlineLevel="0" collapsed="false">
      <c r="A1120" s="90" t="str">
        <f aca="false">Gov_Map!$H364&amp;""</f>
        <v>SRC_MOD_023</v>
      </c>
      <c r="B1120" s="71" t="s">
        <v>8333</v>
      </c>
      <c r="C1120" s="58" t="n">
        <v>364</v>
      </c>
      <c r="D1120" s="58" t="s">
        <v>8334</v>
      </c>
      <c r="E1120" s="58" t="s">
        <v>8334</v>
      </c>
      <c r="F1120" s="59" t="s">
        <v>608</v>
      </c>
    </row>
    <row r="1121" customFormat="false" ht="15" hidden="false" customHeight="false" outlineLevel="0" collapsed="false">
      <c r="A1121" s="90" t="str">
        <f aca="false">Gov_Map!$H365&amp;""</f>
        <v>SRC_MOD_024</v>
      </c>
      <c r="B1121" s="71" t="s">
        <v>8333</v>
      </c>
      <c r="C1121" s="58" t="n">
        <v>365</v>
      </c>
      <c r="D1121" s="58" t="s">
        <v>8334</v>
      </c>
      <c r="E1121" s="58" t="s">
        <v>8334</v>
      </c>
      <c r="F1121" s="59" t="s">
        <v>608</v>
      </c>
    </row>
    <row r="1122" customFormat="false" ht="15" hidden="false" customHeight="false" outlineLevel="0" collapsed="false">
      <c r="A1122" s="90" t="str">
        <f aca="false">Gov_Map!$H366&amp;""</f>
        <v>SRC_MOD_025</v>
      </c>
      <c r="B1122" s="71" t="s">
        <v>8333</v>
      </c>
      <c r="C1122" s="58" t="n">
        <v>366</v>
      </c>
      <c r="D1122" s="58" t="s">
        <v>8334</v>
      </c>
      <c r="E1122" s="58" t="s">
        <v>8334</v>
      </c>
      <c r="F1122" s="59" t="s">
        <v>608</v>
      </c>
    </row>
    <row r="1123" customFormat="false" ht="15" hidden="false" customHeight="false" outlineLevel="0" collapsed="false">
      <c r="A1123" s="90" t="str">
        <f aca="false">Gov_Map!$H367&amp;""</f>
        <v>SRC_MOD_026</v>
      </c>
      <c r="B1123" s="71" t="s">
        <v>8333</v>
      </c>
      <c r="C1123" s="58" t="n">
        <v>367</v>
      </c>
      <c r="D1123" s="58" t="s">
        <v>8334</v>
      </c>
      <c r="E1123" s="58" t="s">
        <v>8334</v>
      </c>
      <c r="F1123" s="59" t="s">
        <v>608</v>
      </c>
    </row>
    <row r="1124" customFormat="false" ht="15" hidden="false" customHeight="false" outlineLevel="0" collapsed="false">
      <c r="A1124" s="90" t="str">
        <f aca="false">Gov_Map!$H368&amp;""</f>
        <v>SRC_MOD_027</v>
      </c>
      <c r="B1124" s="71" t="s">
        <v>8333</v>
      </c>
      <c r="C1124" s="58" t="n">
        <v>368</v>
      </c>
      <c r="D1124" s="58" t="s">
        <v>8334</v>
      </c>
      <c r="E1124" s="58" t="s">
        <v>8334</v>
      </c>
      <c r="F1124" s="59" t="s">
        <v>608</v>
      </c>
    </row>
    <row r="1125" customFormat="false" ht="15" hidden="false" customHeight="false" outlineLevel="0" collapsed="false">
      <c r="A1125" s="90" t="str">
        <f aca="false">Gov_Map!$H369&amp;""</f>
        <v>SRC_MOD_028</v>
      </c>
      <c r="B1125" s="71" t="s">
        <v>8333</v>
      </c>
      <c r="C1125" s="58" t="n">
        <v>369</v>
      </c>
      <c r="D1125" s="58" t="s">
        <v>8334</v>
      </c>
      <c r="E1125" s="58" t="s">
        <v>8334</v>
      </c>
      <c r="F1125" s="59" t="s">
        <v>608</v>
      </c>
    </row>
    <row r="1126" customFormat="false" ht="15" hidden="false" customHeight="false" outlineLevel="0" collapsed="false">
      <c r="A1126" s="90" t="str">
        <f aca="false">Gov_Map!$H370&amp;""</f>
        <v>SRC_MOD_049</v>
      </c>
      <c r="B1126" s="71" t="s">
        <v>8333</v>
      </c>
      <c r="C1126" s="58" t="n">
        <v>370</v>
      </c>
      <c r="D1126" s="58" t="s">
        <v>8334</v>
      </c>
      <c r="E1126" s="58" t="s">
        <v>8334</v>
      </c>
      <c r="F1126" s="59" t="s">
        <v>608</v>
      </c>
    </row>
    <row r="1127" customFormat="false" ht="15" hidden="false" customHeight="false" outlineLevel="0" collapsed="false">
      <c r="A1127" s="90" t="str">
        <f aca="false">Gov_Map!$H371&amp;""</f>
        <v>SRC_PERF_029</v>
      </c>
      <c r="B1127" s="71" t="s">
        <v>8333</v>
      </c>
      <c r="C1127" s="58" t="n">
        <v>371</v>
      </c>
      <c r="D1127" s="58" t="s">
        <v>8334</v>
      </c>
      <c r="E1127" s="58" t="s">
        <v>8334</v>
      </c>
      <c r="F1127" s="59" t="s">
        <v>608</v>
      </c>
    </row>
    <row r="1128" customFormat="false" ht="15" hidden="false" customHeight="false" outlineLevel="0" collapsed="false">
      <c r="A1128" s="90" t="str">
        <f aca="false">Gov_Map!$H372&amp;""</f>
        <v>SRC_PERF_030</v>
      </c>
      <c r="B1128" s="71" t="s">
        <v>8333</v>
      </c>
      <c r="C1128" s="58" t="n">
        <v>372</v>
      </c>
      <c r="D1128" s="58" t="s">
        <v>8334</v>
      </c>
      <c r="E1128" s="58" t="s">
        <v>8334</v>
      </c>
      <c r="F1128" s="59" t="s">
        <v>608</v>
      </c>
    </row>
    <row r="1129" customFormat="false" ht="15" hidden="false" customHeight="false" outlineLevel="0" collapsed="false">
      <c r="A1129" s="90" t="str">
        <f aca="false">Gov_Map!$H373&amp;""</f>
        <v>—</v>
      </c>
      <c r="B1129" s="71" t="s">
        <v>8333</v>
      </c>
      <c r="C1129" s="58" t="n">
        <v>373</v>
      </c>
      <c r="D1129" s="58" t="s">
        <v>8334</v>
      </c>
      <c r="E1129" s="58" t="s">
        <v>8334</v>
      </c>
      <c r="F1129" s="59" t="s">
        <v>608</v>
      </c>
    </row>
    <row r="1130" customFormat="false" ht="15" hidden="false" customHeight="false" outlineLevel="0" collapsed="false">
      <c r="A1130" s="90" t="str">
        <f aca="false">Gov_Map!$H374&amp;""</f>
        <v>SRC_PERF_031</v>
      </c>
      <c r="B1130" s="71" t="s">
        <v>8333</v>
      </c>
      <c r="C1130" s="58" t="n">
        <v>374</v>
      </c>
      <c r="D1130" s="58" t="s">
        <v>8334</v>
      </c>
      <c r="E1130" s="58" t="s">
        <v>8334</v>
      </c>
      <c r="F1130" s="59" t="s">
        <v>608</v>
      </c>
    </row>
    <row r="1131" customFormat="false" ht="15" hidden="false" customHeight="false" outlineLevel="0" collapsed="false">
      <c r="A1131" s="90" t="str">
        <f aca="false">Gov_Map!$H375&amp;""</f>
        <v>SRC_PERF_031</v>
      </c>
      <c r="B1131" s="71" t="s">
        <v>8333</v>
      </c>
      <c r="C1131" s="58" t="n">
        <v>375</v>
      </c>
      <c r="D1131" s="58" t="s">
        <v>8334</v>
      </c>
      <c r="E1131" s="58" t="s">
        <v>8334</v>
      </c>
      <c r="F1131" s="59" t="s">
        <v>608</v>
      </c>
    </row>
    <row r="1132" customFormat="false" ht="15" hidden="false" customHeight="false" outlineLevel="0" collapsed="false">
      <c r="A1132" s="90" t="str">
        <f aca="false">Gov_Map!$H376&amp;""</f>
        <v>SRC_PERF_031</v>
      </c>
      <c r="B1132" s="71" t="s">
        <v>8333</v>
      </c>
      <c r="C1132" s="58" t="n">
        <v>376</v>
      </c>
      <c r="D1132" s="58" t="s">
        <v>8334</v>
      </c>
      <c r="E1132" s="58" t="s">
        <v>8334</v>
      </c>
      <c r="F1132" s="59" t="s">
        <v>608</v>
      </c>
    </row>
    <row r="1133" customFormat="false" ht="15" hidden="false" customHeight="false" outlineLevel="0" collapsed="false">
      <c r="A1133" s="90" t="str">
        <f aca="false">Gov_Map!$H377&amp;""</f>
        <v>SRC_PERF_032</v>
      </c>
      <c r="B1133" s="71" t="s">
        <v>8333</v>
      </c>
      <c r="C1133" s="58" t="n">
        <v>377</v>
      </c>
      <c r="D1133" s="58" t="s">
        <v>8334</v>
      </c>
      <c r="E1133" s="58" t="s">
        <v>8334</v>
      </c>
      <c r="F1133" s="59" t="s">
        <v>608</v>
      </c>
    </row>
    <row r="1134" customFormat="false" ht="15" hidden="false" customHeight="false" outlineLevel="0" collapsed="false">
      <c r="A1134" s="90" t="str">
        <f aca="false">Gov_Map!$H378&amp;""</f>
        <v>SRC_PERF_035</v>
      </c>
      <c r="B1134" s="71" t="s">
        <v>8333</v>
      </c>
      <c r="C1134" s="58" t="n">
        <v>378</v>
      </c>
      <c r="D1134" s="58" t="s">
        <v>8334</v>
      </c>
      <c r="E1134" s="58" t="s">
        <v>8334</v>
      </c>
      <c r="F1134" s="59" t="s">
        <v>608</v>
      </c>
    </row>
    <row r="1135" customFormat="false" ht="15" hidden="false" customHeight="false" outlineLevel="0" collapsed="false">
      <c r="A1135" s="90" t="str">
        <f aca="false">Gov_Map!$H379&amp;""</f>
        <v>SRC_PERF_035</v>
      </c>
      <c r="B1135" s="71" t="s">
        <v>8333</v>
      </c>
      <c r="C1135" s="58" t="n">
        <v>379</v>
      </c>
      <c r="D1135" s="58" t="s">
        <v>8334</v>
      </c>
      <c r="E1135" s="58" t="s">
        <v>8334</v>
      </c>
      <c r="F1135" s="59" t="s">
        <v>608</v>
      </c>
    </row>
    <row r="1136" customFormat="false" ht="15" hidden="false" customHeight="false" outlineLevel="0" collapsed="false">
      <c r="A1136" s="90" t="str">
        <f aca="false">Gov_Map!$H380&amp;""</f>
        <v>SRC_PERF_035</v>
      </c>
      <c r="B1136" s="71" t="s">
        <v>8333</v>
      </c>
      <c r="C1136" s="58" t="n">
        <v>380</v>
      </c>
      <c r="D1136" s="58" t="s">
        <v>8334</v>
      </c>
      <c r="E1136" s="58" t="s">
        <v>8334</v>
      </c>
      <c r="F1136" s="59" t="s">
        <v>608</v>
      </c>
    </row>
    <row r="1137" customFormat="false" ht="15" hidden="false" customHeight="false" outlineLevel="0" collapsed="false">
      <c r="A1137" s="90" t="str">
        <f aca="false">Gov_Map!$H381&amp;""</f>
        <v>SRC_PERF_035</v>
      </c>
      <c r="B1137" s="71" t="s">
        <v>8333</v>
      </c>
      <c r="C1137" s="58" t="n">
        <v>381</v>
      </c>
      <c r="D1137" s="58" t="s">
        <v>8334</v>
      </c>
      <c r="E1137" s="58" t="s">
        <v>8334</v>
      </c>
      <c r="F1137" s="59" t="s">
        <v>608</v>
      </c>
    </row>
    <row r="1138" customFormat="false" ht="15" hidden="false" customHeight="false" outlineLevel="0" collapsed="false">
      <c r="A1138" s="90" t="str">
        <f aca="false">Gov_Map!$H382&amp;""</f>
        <v>SRC_PERF_028</v>
      </c>
      <c r="B1138" s="71" t="s">
        <v>8333</v>
      </c>
      <c r="C1138" s="58" t="n">
        <v>382</v>
      </c>
      <c r="D1138" s="58" t="s">
        <v>8334</v>
      </c>
      <c r="E1138" s="58" t="s">
        <v>8334</v>
      </c>
      <c r="F1138" s="59" t="s">
        <v>608</v>
      </c>
    </row>
    <row r="1139" customFormat="false" ht="15" hidden="false" customHeight="false" outlineLevel="0" collapsed="false">
      <c r="A1139" s="90" t="str">
        <f aca="false">Gov_Map!$H383&amp;""</f>
        <v>SRC_PERF_025</v>
      </c>
      <c r="B1139" s="71" t="s">
        <v>8333</v>
      </c>
      <c r="C1139" s="58" t="n">
        <v>383</v>
      </c>
      <c r="D1139" s="58" t="s">
        <v>8334</v>
      </c>
      <c r="E1139" s="58" t="s">
        <v>8334</v>
      </c>
      <c r="F1139" s="59" t="s">
        <v>608</v>
      </c>
    </row>
    <row r="1140" customFormat="false" ht="15" hidden="false" customHeight="false" outlineLevel="0" collapsed="false">
      <c r="A1140" s="90" t="str">
        <f aca="false">Gov_Map!$H384&amp;""</f>
        <v>SRC_PERF_027</v>
      </c>
      <c r="B1140" s="71" t="s">
        <v>8333</v>
      </c>
      <c r="C1140" s="58" t="n">
        <v>384</v>
      </c>
      <c r="D1140" s="58" t="s">
        <v>8334</v>
      </c>
      <c r="E1140" s="58" t="s">
        <v>8334</v>
      </c>
      <c r="F1140" s="59" t="s">
        <v>608</v>
      </c>
    </row>
    <row r="1141" customFormat="false" ht="15" hidden="false" customHeight="false" outlineLevel="0" collapsed="false">
      <c r="A1141" s="90" t="str">
        <f aca="false">Gov_Map!$H385&amp;""</f>
        <v>SRC_PERF_026</v>
      </c>
      <c r="B1141" s="71" t="s">
        <v>8333</v>
      </c>
      <c r="C1141" s="58" t="n">
        <v>385</v>
      </c>
      <c r="D1141" s="58" t="s">
        <v>8334</v>
      </c>
      <c r="E1141" s="58" t="s">
        <v>8334</v>
      </c>
      <c r="F1141" s="59" t="s">
        <v>608</v>
      </c>
    </row>
    <row r="1142" customFormat="false" ht="15" hidden="false" customHeight="false" outlineLevel="0" collapsed="false">
      <c r="A1142" s="90" t="str">
        <f aca="false">Gov_Map!$H386&amp;""</f>
        <v>—</v>
      </c>
      <c r="B1142" s="71" t="s">
        <v>8333</v>
      </c>
      <c r="C1142" s="58" t="n">
        <v>386</v>
      </c>
      <c r="D1142" s="58" t="s">
        <v>8334</v>
      </c>
      <c r="E1142" s="58" t="s">
        <v>8334</v>
      </c>
      <c r="F1142" s="59" t="s">
        <v>608</v>
      </c>
    </row>
    <row r="1143" customFormat="false" ht="15" hidden="false" customHeight="false" outlineLevel="0" collapsed="false">
      <c r="A1143" s="90" t="str">
        <f aca="false">Gov_Map!$H387&amp;""</f>
        <v>SRC_HW_035</v>
      </c>
      <c r="B1143" s="71" t="s">
        <v>8333</v>
      </c>
      <c r="C1143" s="58" t="n">
        <v>387</v>
      </c>
      <c r="D1143" s="58" t="s">
        <v>8334</v>
      </c>
      <c r="E1143" s="58" t="s">
        <v>8334</v>
      </c>
      <c r="F1143" s="59" t="s">
        <v>608</v>
      </c>
    </row>
    <row r="1144" customFormat="false" ht="15" hidden="false" customHeight="false" outlineLevel="0" collapsed="false">
      <c r="A1144" s="90" t="str">
        <f aca="false">Gov_Map!$H388&amp;""</f>
        <v>—</v>
      </c>
      <c r="B1144" s="71" t="s">
        <v>8333</v>
      </c>
      <c r="C1144" s="58" t="n">
        <v>388</v>
      </c>
      <c r="D1144" s="58" t="s">
        <v>8334</v>
      </c>
      <c r="E1144" s="58" t="s">
        <v>8334</v>
      </c>
      <c r="F1144" s="59" t="s">
        <v>608</v>
      </c>
    </row>
    <row r="1145" customFormat="false" ht="15" hidden="false" customHeight="false" outlineLevel="0" collapsed="false">
      <c r="A1145" s="90" t="str">
        <f aca="false">Gov_Map!$H389&amp;""</f>
        <v>—</v>
      </c>
      <c r="B1145" s="71" t="s">
        <v>8333</v>
      </c>
      <c r="C1145" s="58" t="n">
        <v>389</v>
      </c>
      <c r="D1145" s="58" t="s">
        <v>8334</v>
      </c>
      <c r="E1145" s="58" t="s">
        <v>8334</v>
      </c>
      <c r="F1145" s="59" t="s">
        <v>608</v>
      </c>
    </row>
    <row r="1146" customFormat="false" ht="15" hidden="false" customHeight="false" outlineLevel="0" collapsed="false">
      <c r="A1146" s="90" t="str">
        <f aca="false">Gov_Map!$H390&amp;""</f>
        <v>—</v>
      </c>
      <c r="B1146" s="71" t="s">
        <v>8333</v>
      </c>
      <c r="C1146" s="58" t="n">
        <v>390</v>
      </c>
      <c r="D1146" s="58" t="s">
        <v>8334</v>
      </c>
      <c r="E1146" s="58" t="s">
        <v>8334</v>
      </c>
      <c r="F1146" s="59" t="s">
        <v>608</v>
      </c>
    </row>
    <row r="1147" customFormat="false" ht="15" hidden="false" customHeight="false" outlineLevel="0" collapsed="false">
      <c r="A1147" s="90" t="str">
        <f aca="false">Gov_Map!$H391&amp;""</f>
        <v>—</v>
      </c>
      <c r="B1147" s="71" t="s">
        <v>8333</v>
      </c>
      <c r="C1147" s="58" t="n">
        <v>391</v>
      </c>
      <c r="D1147" s="58" t="s">
        <v>8334</v>
      </c>
      <c r="E1147" s="58" t="s">
        <v>8334</v>
      </c>
      <c r="F1147" s="59" t="s">
        <v>608</v>
      </c>
    </row>
    <row r="1148" customFormat="false" ht="15" hidden="false" customHeight="false" outlineLevel="0" collapsed="false">
      <c r="A1148" s="90" t="str">
        <f aca="false">Gov_Map!$H392&amp;""</f>
        <v>—</v>
      </c>
      <c r="B1148" s="71" t="s">
        <v>8333</v>
      </c>
      <c r="C1148" s="58" t="n">
        <v>392</v>
      </c>
      <c r="D1148" s="58" t="s">
        <v>8334</v>
      </c>
      <c r="E1148" s="58" t="s">
        <v>8334</v>
      </c>
      <c r="F1148" s="59" t="s">
        <v>608</v>
      </c>
    </row>
    <row r="1149" customFormat="false" ht="15" hidden="false" customHeight="false" outlineLevel="0" collapsed="false">
      <c r="A1149" s="90" t="str">
        <f aca="false">Gov_Map!$H393&amp;""</f>
        <v>—</v>
      </c>
      <c r="B1149" s="71" t="s">
        <v>8333</v>
      </c>
      <c r="C1149" s="58" t="n">
        <v>393</v>
      </c>
      <c r="D1149" s="58" t="s">
        <v>8334</v>
      </c>
      <c r="E1149" s="58" t="s">
        <v>8334</v>
      </c>
      <c r="F1149" s="59" t="s">
        <v>608</v>
      </c>
    </row>
    <row r="1150" customFormat="false" ht="15" hidden="false" customHeight="false" outlineLevel="0" collapsed="false">
      <c r="A1150" s="90" t="str">
        <f aca="false">Gov_Map!$H394&amp;""</f>
        <v>—</v>
      </c>
      <c r="B1150" s="71" t="s">
        <v>8333</v>
      </c>
      <c r="C1150" s="58" t="n">
        <v>394</v>
      </c>
      <c r="D1150" s="58" t="s">
        <v>8334</v>
      </c>
      <c r="E1150" s="58" t="s">
        <v>8334</v>
      </c>
      <c r="F1150" s="59" t="s">
        <v>608</v>
      </c>
    </row>
    <row r="1151" customFormat="false" ht="15" hidden="false" customHeight="false" outlineLevel="0" collapsed="false">
      <c r="A1151" s="90" t="str">
        <f aca="false">Gov_Map!$H395&amp;""</f>
        <v>—</v>
      </c>
      <c r="B1151" s="71" t="s">
        <v>8333</v>
      </c>
      <c r="C1151" s="58" t="n">
        <v>395</v>
      </c>
      <c r="D1151" s="58" t="s">
        <v>8334</v>
      </c>
      <c r="E1151" s="58" t="s">
        <v>8334</v>
      </c>
      <c r="F1151" s="59" t="s">
        <v>608</v>
      </c>
    </row>
    <row r="1152" customFormat="false" ht="15" hidden="false" customHeight="false" outlineLevel="0" collapsed="false">
      <c r="A1152" s="90" t="str">
        <f aca="false">Gov_Map!$H396&amp;""</f>
        <v>—</v>
      </c>
      <c r="B1152" s="71" t="s">
        <v>8333</v>
      </c>
      <c r="C1152" s="58" t="n">
        <v>396</v>
      </c>
      <c r="D1152" s="58" t="s">
        <v>8334</v>
      </c>
      <c r="E1152" s="58" t="s">
        <v>8334</v>
      </c>
      <c r="F1152" s="59" t="s">
        <v>608</v>
      </c>
    </row>
    <row r="1153" customFormat="false" ht="15" hidden="false" customHeight="false" outlineLevel="0" collapsed="false">
      <c r="A1153" s="90" t="str">
        <f aca="false">Gov_Map!$H397&amp;""</f>
        <v>—</v>
      </c>
      <c r="B1153" s="71" t="s">
        <v>8333</v>
      </c>
      <c r="C1153" s="58" t="n">
        <v>397</v>
      </c>
      <c r="D1153" s="58" t="s">
        <v>8334</v>
      </c>
      <c r="E1153" s="58" t="s">
        <v>8334</v>
      </c>
      <c r="F1153" s="59" t="s">
        <v>608</v>
      </c>
    </row>
    <row r="1154" customFormat="false" ht="15" hidden="false" customHeight="false" outlineLevel="0" collapsed="false">
      <c r="A1154" s="90" t="str">
        <f aca="false">Gov_Map!$H398&amp;""</f>
        <v>—</v>
      </c>
      <c r="B1154" s="71" t="s">
        <v>8333</v>
      </c>
      <c r="C1154" s="58" t="n">
        <v>398</v>
      </c>
      <c r="D1154" s="58" t="s">
        <v>8334</v>
      </c>
      <c r="E1154" s="58" t="s">
        <v>8334</v>
      </c>
      <c r="F1154" s="59" t="s">
        <v>608</v>
      </c>
    </row>
    <row r="1155" customFormat="false" ht="15" hidden="false" customHeight="false" outlineLevel="0" collapsed="false">
      <c r="A1155" s="90" t="str">
        <f aca="false">Gov_Map!$H399&amp;""</f>
        <v>—</v>
      </c>
      <c r="B1155" s="71" t="s">
        <v>8333</v>
      </c>
      <c r="C1155" s="58" t="n">
        <v>399</v>
      </c>
      <c r="D1155" s="58" t="s">
        <v>8334</v>
      </c>
      <c r="E1155" s="58" t="s">
        <v>8334</v>
      </c>
      <c r="F1155" s="59" t="s">
        <v>608</v>
      </c>
    </row>
    <row r="1156" customFormat="false" ht="15" hidden="false" customHeight="false" outlineLevel="0" collapsed="false">
      <c r="A1156" s="90" t="str">
        <f aca="false">Gov_Map!$H400&amp;""</f>
        <v>—</v>
      </c>
      <c r="B1156" s="71" t="s">
        <v>8333</v>
      </c>
      <c r="C1156" s="58" t="n">
        <v>400</v>
      </c>
      <c r="D1156" s="58" t="s">
        <v>8334</v>
      </c>
      <c r="E1156" s="58" t="s">
        <v>8334</v>
      </c>
      <c r="F1156" s="59" t="s">
        <v>608</v>
      </c>
    </row>
    <row r="1157" customFormat="false" ht="15" hidden="false" customHeight="false" outlineLevel="0" collapsed="false">
      <c r="A1157" s="90" t="str">
        <f aca="false">Gov_Map!$H401&amp;""</f>
        <v>—</v>
      </c>
      <c r="B1157" s="71" t="s">
        <v>8333</v>
      </c>
      <c r="C1157" s="58" t="n">
        <v>401</v>
      </c>
      <c r="D1157" s="58" t="s">
        <v>8334</v>
      </c>
      <c r="E1157" s="58" t="s">
        <v>8334</v>
      </c>
      <c r="F1157" s="59" t="s">
        <v>608</v>
      </c>
    </row>
    <row r="1158" customFormat="false" ht="15" hidden="false" customHeight="false" outlineLevel="0" collapsed="false">
      <c r="A1158" s="90" t="str">
        <f aca="false">Gov_Map!$H402&amp;""</f>
        <v>—</v>
      </c>
      <c r="B1158" s="71" t="s">
        <v>8333</v>
      </c>
      <c r="C1158" s="58" t="n">
        <v>402</v>
      </c>
      <c r="D1158" s="58" t="s">
        <v>8334</v>
      </c>
      <c r="E1158" s="58" t="s">
        <v>8334</v>
      </c>
      <c r="F1158" s="59" t="s">
        <v>608</v>
      </c>
    </row>
    <row r="1159" customFormat="false" ht="15" hidden="false" customHeight="false" outlineLevel="0" collapsed="false">
      <c r="A1159" s="90" t="str">
        <f aca="false">Gov_Map!$H403&amp;""</f>
        <v>—</v>
      </c>
      <c r="B1159" s="71" t="s">
        <v>8333</v>
      </c>
      <c r="C1159" s="58" t="n">
        <v>403</v>
      </c>
      <c r="D1159" s="58" t="s">
        <v>8334</v>
      </c>
      <c r="E1159" s="58" t="s">
        <v>8334</v>
      </c>
      <c r="F1159" s="59" t="s">
        <v>608</v>
      </c>
    </row>
    <row r="1160" customFormat="false" ht="15" hidden="false" customHeight="false" outlineLevel="0" collapsed="false">
      <c r="A1160" s="90" t="str">
        <f aca="false">Gov_Map!$H404&amp;""</f>
        <v>—</v>
      </c>
      <c r="B1160" s="71" t="s">
        <v>8333</v>
      </c>
      <c r="C1160" s="58" t="n">
        <v>404</v>
      </c>
      <c r="D1160" s="58" t="s">
        <v>8334</v>
      </c>
      <c r="E1160" s="58" t="s">
        <v>8334</v>
      </c>
      <c r="F1160" s="59" t="s">
        <v>608</v>
      </c>
    </row>
    <row r="1161" customFormat="false" ht="15" hidden="false" customHeight="false" outlineLevel="0" collapsed="false">
      <c r="A1161" s="90" t="str">
        <f aca="false">Gov_Map!$H405&amp;""</f>
        <v>—</v>
      </c>
      <c r="B1161" s="71" t="s">
        <v>8333</v>
      </c>
      <c r="C1161" s="58" t="n">
        <v>405</v>
      </c>
      <c r="D1161" s="58" t="s">
        <v>8334</v>
      </c>
      <c r="E1161" s="58" t="s">
        <v>8334</v>
      </c>
      <c r="F1161" s="59" t="s">
        <v>608</v>
      </c>
    </row>
    <row r="1162" customFormat="false" ht="15" hidden="false" customHeight="false" outlineLevel="0" collapsed="false">
      <c r="A1162" s="90" t="str">
        <f aca="false">Gov_Map!$H406&amp;""</f>
        <v>—</v>
      </c>
      <c r="B1162" s="71" t="s">
        <v>8333</v>
      </c>
      <c r="C1162" s="58" t="n">
        <v>406</v>
      </c>
      <c r="D1162" s="58" t="s">
        <v>8334</v>
      </c>
      <c r="E1162" s="58" t="s">
        <v>8334</v>
      </c>
      <c r="F1162" s="59" t="s">
        <v>608</v>
      </c>
    </row>
    <row r="1163" customFormat="false" ht="15" hidden="false" customHeight="false" outlineLevel="0" collapsed="false">
      <c r="A1163" s="90" t="str">
        <f aca="false">Gov_Map!$H407&amp;""</f>
        <v>—</v>
      </c>
      <c r="B1163" s="71" t="s">
        <v>8333</v>
      </c>
      <c r="C1163" s="58" t="n">
        <v>407</v>
      </c>
      <c r="D1163" s="58" t="s">
        <v>8334</v>
      </c>
      <c r="E1163" s="58" t="s">
        <v>8334</v>
      </c>
      <c r="F1163" s="59" t="s">
        <v>608</v>
      </c>
    </row>
    <row r="1164" customFormat="false" ht="15" hidden="false" customHeight="false" outlineLevel="0" collapsed="false">
      <c r="A1164" s="90" t="str">
        <f aca="false">Gov_Map!$H408&amp;""</f>
        <v>—</v>
      </c>
      <c r="B1164" s="71" t="s">
        <v>8333</v>
      </c>
      <c r="C1164" s="58" t="n">
        <v>408</v>
      </c>
      <c r="D1164" s="58" t="s">
        <v>8334</v>
      </c>
      <c r="E1164" s="58" t="s">
        <v>8334</v>
      </c>
      <c r="F1164" s="59" t="s">
        <v>608</v>
      </c>
    </row>
    <row r="1165" customFormat="false" ht="15" hidden="false" customHeight="false" outlineLevel="0" collapsed="false">
      <c r="A1165" s="90" t="str">
        <f aca="false">Gov_Map!$H409&amp;""</f>
        <v>—</v>
      </c>
      <c r="B1165" s="71" t="s">
        <v>8333</v>
      </c>
      <c r="C1165" s="58" t="n">
        <v>409</v>
      </c>
      <c r="D1165" s="58" t="s">
        <v>8334</v>
      </c>
      <c r="E1165" s="58" t="s">
        <v>8334</v>
      </c>
      <c r="F1165" s="59" t="s">
        <v>608</v>
      </c>
    </row>
    <row r="1166" customFormat="false" ht="15" hidden="false" customHeight="false" outlineLevel="0" collapsed="false">
      <c r="A1166" s="90" t="str">
        <f aca="false">Gov_Map!$H410&amp;""</f>
        <v>—</v>
      </c>
      <c r="B1166" s="71" t="s">
        <v>8333</v>
      </c>
      <c r="C1166" s="58" t="n">
        <v>410</v>
      </c>
      <c r="D1166" s="58" t="s">
        <v>8334</v>
      </c>
      <c r="E1166" s="58" t="s">
        <v>8334</v>
      </c>
      <c r="F1166" s="59" t="s">
        <v>608</v>
      </c>
    </row>
    <row r="1167" customFormat="false" ht="15" hidden="false" customHeight="false" outlineLevel="0" collapsed="false">
      <c r="A1167" s="90" t="str">
        <f aca="false">Gov_Map!$H411&amp;""</f>
        <v>—</v>
      </c>
      <c r="B1167" s="71" t="s">
        <v>8333</v>
      </c>
      <c r="C1167" s="58" t="n">
        <v>411</v>
      </c>
      <c r="D1167" s="58" t="s">
        <v>8334</v>
      </c>
      <c r="E1167" s="58" t="s">
        <v>8334</v>
      </c>
      <c r="F1167" s="59" t="s">
        <v>608</v>
      </c>
    </row>
    <row r="1168" customFormat="false" ht="15" hidden="false" customHeight="false" outlineLevel="0" collapsed="false">
      <c r="A1168" s="90" t="str">
        <f aca="false">Gov_Map!$H412&amp;""</f>
        <v>—</v>
      </c>
      <c r="B1168" s="71" t="s">
        <v>8333</v>
      </c>
      <c r="C1168" s="58" t="n">
        <v>412</v>
      </c>
      <c r="D1168" s="58" t="s">
        <v>8334</v>
      </c>
      <c r="E1168" s="58" t="s">
        <v>8334</v>
      </c>
      <c r="F1168" s="59" t="s">
        <v>608</v>
      </c>
    </row>
    <row r="1169" customFormat="false" ht="15" hidden="false" customHeight="false" outlineLevel="0" collapsed="false">
      <c r="A1169" s="90" t="str">
        <f aca="false">Gov_Map!$H413&amp;""</f>
        <v>—</v>
      </c>
      <c r="B1169" s="71" t="s">
        <v>8333</v>
      </c>
      <c r="C1169" s="58" t="n">
        <v>413</v>
      </c>
      <c r="D1169" s="58" t="s">
        <v>8334</v>
      </c>
      <c r="E1169" s="58" t="s">
        <v>8334</v>
      </c>
      <c r="F1169" s="59" t="s">
        <v>608</v>
      </c>
    </row>
    <row r="1170" customFormat="false" ht="15" hidden="false" customHeight="false" outlineLevel="0" collapsed="false">
      <c r="A1170" s="90" t="str">
        <f aca="false">Gov_Map!$H414&amp;""</f>
        <v>—</v>
      </c>
      <c r="B1170" s="71" t="s">
        <v>8333</v>
      </c>
      <c r="C1170" s="58" t="n">
        <v>414</v>
      </c>
      <c r="D1170" s="58" t="s">
        <v>8334</v>
      </c>
      <c r="E1170" s="58" t="s">
        <v>8334</v>
      </c>
      <c r="F1170" s="59" t="s">
        <v>608</v>
      </c>
    </row>
    <row r="1171" customFormat="false" ht="15" hidden="false" customHeight="false" outlineLevel="0" collapsed="false">
      <c r="A1171" s="90" t="str">
        <f aca="false">Gov_Map!$H415&amp;""</f>
        <v>—</v>
      </c>
      <c r="B1171" s="71" t="s">
        <v>8333</v>
      </c>
      <c r="C1171" s="58" t="n">
        <v>415</v>
      </c>
      <c r="D1171" s="58" t="s">
        <v>8334</v>
      </c>
      <c r="E1171" s="58" t="s">
        <v>8334</v>
      </c>
      <c r="F1171" s="59" t="s">
        <v>608</v>
      </c>
    </row>
    <row r="1172" customFormat="false" ht="15" hidden="false" customHeight="false" outlineLevel="0" collapsed="false">
      <c r="A1172" s="90" t="str">
        <f aca="false">Gov_Map!$H416&amp;""</f>
        <v>—</v>
      </c>
      <c r="B1172" s="71" t="s">
        <v>8333</v>
      </c>
      <c r="C1172" s="58" t="n">
        <v>416</v>
      </c>
      <c r="D1172" s="58" t="s">
        <v>8334</v>
      </c>
      <c r="E1172" s="58" t="s">
        <v>8334</v>
      </c>
      <c r="F1172" s="59" t="s">
        <v>608</v>
      </c>
    </row>
    <row r="1173" customFormat="false" ht="15" hidden="false" customHeight="false" outlineLevel="0" collapsed="false">
      <c r="A1173" s="90" t="str">
        <f aca="false">Gov_Map!$H417&amp;""</f>
        <v>—</v>
      </c>
      <c r="B1173" s="71" t="s">
        <v>8333</v>
      </c>
      <c r="C1173" s="58" t="n">
        <v>417</v>
      </c>
      <c r="D1173" s="58" t="s">
        <v>8334</v>
      </c>
      <c r="E1173" s="58" t="s">
        <v>8334</v>
      </c>
      <c r="F1173" s="59" t="s">
        <v>608</v>
      </c>
    </row>
    <row r="1174" customFormat="false" ht="15" hidden="false" customHeight="false" outlineLevel="0" collapsed="false">
      <c r="A1174" s="90" t="str">
        <f aca="false">Gov_Map!$H418&amp;""</f>
        <v>—</v>
      </c>
      <c r="B1174" s="71" t="s">
        <v>8333</v>
      </c>
      <c r="C1174" s="58" t="n">
        <v>418</v>
      </c>
      <c r="D1174" s="58" t="s">
        <v>8334</v>
      </c>
      <c r="E1174" s="58" t="s">
        <v>8334</v>
      </c>
      <c r="F1174" s="59" t="s">
        <v>608</v>
      </c>
    </row>
    <row r="1175" customFormat="false" ht="15" hidden="false" customHeight="false" outlineLevel="0" collapsed="false">
      <c r="A1175" s="90" t="str">
        <f aca="false">Gov_Map!$H419&amp;""</f>
        <v>—</v>
      </c>
      <c r="B1175" s="71" t="s">
        <v>8333</v>
      </c>
      <c r="C1175" s="58" t="n">
        <v>419</v>
      </c>
      <c r="D1175" s="58" t="s">
        <v>8334</v>
      </c>
      <c r="E1175" s="58" t="s">
        <v>8334</v>
      </c>
      <c r="F1175" s="59" t="s">
        <v>608</v>
      </c>
    </row>
    <row r="1176" customFormat="false" ht="15" hidden="false" customHeight="false" outlineLevel="0" collapsed="false">
      <c r="A1176" s="90" t="str">
        <f aca="false">Gov_Map!$H420&amp;""</f>
        <v>—</v>
      </c>
      <c r="B1176" s="71" t="s">
        <v>8333</v>
      </c>
      <c r="C1176" s="58" t="n">
        <v>420</v>
      </c>
      <c r="D1176" s="58" t="s">
        <v>8334</v>
      </c>
      <c r="E1176" s="58" t="s">
        <v>8334</v>
      </c>
      <c r="F1176" s="59" t="s">
        <v>608</v>
      </c>
    </row>
    <row r="1177" customFormat="false" ht="15" hidden="false" customHeight="false" outlineLevel="0" collapsed="false">
      <c r="A1177" s="90" t="str">
        <f aca="false">Gov_Map!$H421&amp;""</f>
        <v>—</v>
      </c>
      <c r="B1177" s="71" t="s">
        <v>8333</v>
      </c>
      <c r="C1177" s="58" t="n">
        <v>421</v>
      </c>
      <c r="D1177" s="58" t="s">
        <v>8334</v>
      </c>
      <c r="E1177" s="58" t="s">
        <v>8334</v>
      </c>
      <c r="F1177" s="59" t="s">
        <v>608</v>
      </c>
    </row>
    <row r="1178" customFormat="false" ht="15" hidden="false" customHeight="false" outlineLevel="0" collapsed="false">
      <c r="A1178" s="90" t="str">
        <f aca="false">Gov_Map!$H422&amp;""</f>
        <v>—</v>
      </c>
      <c r="B1178" s="71" t="s">
        <v>8333</v>
      </c>
      <c r="C1178" s="58" t="n">
        <v>422</v>
      </c>
      <c r="D1178" s="58" t="s">
        <v>8334</v>
      </c>
      <c r="E1178" s="58" t="s">
        <v>8334</v>
      </c>
      <c r="F1178" s="59" t="s">
        <v>608</v>
      </c>
    </row>
    <row r="1179" customFormat="false" ht="15" hidden="false" customHeight="false" outlineLevel="0" collapsed="false">
      <c r="A1179" s="90" t="str">
        <f aca="false">Gov_Map!$H423&amp;""</f>
        <v>—</v>
      </c>
      <c r="B1179" s="71" t="s">
        <v>8333</v>
      </c>
      <c r="C1179" s="58" t="n">
        <v>423</v>
      </c>
      <c r="D1179" s="58" t="s">
        <v>8334</v>
      </c>
      <c r="E1179" s="58" t="s">
        <v>8334</v>
      </c>
      <c r="F1179" s="59" t="s">
        <v>608</v>
      </c>
    </row>
    <row r="1180" customFormat="false" ht="15" hidden="false" customHeight="false" outlineLevel="0" collapsed="false">
      <c r="A1180" s="90" t="str">
        <f aca="false">Gov_Map!$H424&amp;""</f>
        <v>—</v>
      </c>
      <c r="B1180" s="71" t="s">
        <v>8333</v>
      </c>
      <c r="C1180" s="58" t="n">
        <v>424</v>
      </c>
      <c r="D1180" s="58" t="s">
        <v>8334</v>
      </c>
      <c r="E1180" s="58" t="s">
        <v>8334</v>
      </c>
      <c r="F1180" s="59" t="s">
        <v>608</v>
      </c>
    </row>
    <row r="1181" customFormat="false" ht="15" hidden="false" customHeight="false" outlineLevel="0" collapsed="false">
      <c r="A1181" s="90" t="str">
        <f aca="false">Gov_Map!$H425&amp;""</f>
        <v>—</v>
      </c>
      <c r="B1181" s="71" t="s">
        <v>8333</v>
      </c>
      <c r="C1181" s="58" t="n">
        <v>425</v>
      </c>
      <c r="D1181" s="58" t="s">
        <v>8334</v>
      </c>
      <c r="E1181" s="58" t="s">
        <v>8334</v>
      </c>
      <c r="F1181" s="59" t="s">
        <v>608</v>
      </c>
    </row>
    <row r="1182" customFormat="false" ht="15" hidden="false" customHeight="false" outlineLevel="0" collapsed="false">
      <c r="A1182" s="90" t="str">
        <f aca="false">Gov_Map!$H426&amp;""</f>
        <v>—</v>
      </c>
      <c r="B1182" s="71" t="s">
        <v>8333</v>
      </c>
      <c r="C1182" s="58" t="n">
        <v>426</v>
      </c>
      <c r="D1182" s="58" t="s">
        <v>8334</v>
      </c>
      <c r="E1182" s="58" t="s">
        <v>8334</v>
      </c>
      <c r="F1182" s="59" t="s">
        <v>608</v>
      </c>
    </row>
    <row r="1183" customFormat="false" ht="15" hidden="false" customHeight="false" outlineLevel="0" collapsed="false">
      <c r="A1183" s="90" t="str">
        <f aca="false">Gov_Map!$H427&amp;""</f>
        <v>—</v>
      </c>
      <c r="B1183" s="71" t="s">
        <v>8333</v>
      </c>
      <c r="C1183" s="58" t="n">
        <v>427</v>
      </c>
      <c r="D1183" s="58" t="s">
        <v>8334</v>
      </c>
      <c r="E1183" s="58" t="s">
        <v>8334</v>
      </c>
      <c r="F1183" s="59" t="s">
        <v>608</v>
      </c>
    </row>
    <row r="1184" customFormat="false" ht="15" hidden="false" customHeight="false" outlineLevel="0" collapsed="false">
      <c r="A1184" s="90" t="str">
        <f aca="false">Gov_Map!$H428&amp;""</f>
        <v>—</v>
      </c>
      <c r="B1184" s="71" t="s">
        <v>8333</v>
      </c>
      <c r="C1184" s="58" t="n">
        <v>428</v>
      </c>
      <c r="D1184" s="58" t="s">
        <v>8334</v>
      </c>
      <c r="E1184" s="58" t="s">
        <v>8334</v>
      </c>
      <c r="F1184" s="59" t="s">
        <v>608</v>
      </c>
    </row>
    <row r="1185" customFormat="false" ht="15" hidden="false" customHeight="false" outlineLevel="0" collapsed="false">
      <c r="A1185" s="90" t="str">
        <f aca="false">Gov_Map!$H429&amp;""</f>
        <v>—</v>
      </c>
      <c r="B1185" s="71" t="s">
        <v>8333</v>
      </c>
      <c r="C1185" s="58" t="n">
        <v>429</v>
      </c>
      <c r="D1185" s="58" t="s">
        <v>8334</v>
      </c>
      <c r="E1185" s="58" t="s">
        <v>8334</v>
      </c>
      <c r="F1185" s="59" t="s">
        <v>608</v>
      </c>
    </row>
    <row r="1186" customFormat="false" ht="15" hidden="false" customHeight="false" outlineLevel="0" collapsed="false">
      <c r="A1186" s="90" t="str">
        <f aca="false">Gov_Map!$H430&amp;""</f>
        <v>—</v>
      </c>
      <c r="B1186" s="71" t="s">
        <v>8333</v>
      </c>
      <c r="C1186" s="58" t="n">
        <v>430</v>
      </c>
      <c r="D1186" s="58" t="s">
        <v>8334</v>
      </c>
      <c r="E1186" s="58" t="s">
        <v>8334</v>
      </c>
      <c r="F1186" s="59" t="s">
        <v>608</v>
      </c>
    </row>
    <row r="1187" customFormat="false" ht="15" hidden="false" customHeight="false" outlineLevel="0" collapsed="false">
      <c r="A1187" s="90" t="str">
        <f aca="false">Gov_Map!$H431&amp;""</f>
        <v>SRC_MOD_029</v>
      </c>
      <c r="B1187" s="71" t="s">
        <v>8333</v>
      </c>
      <c r="C1187" s="58" t="n">
        <v>431</v>
      </c>
      <c r="D1187" s="58" t="s">
        <v>8334</v>
      </c>
      <c r="E1187" s="58" t="s">
        <v>8334</v>
      </c>
      <c r="F1187" s="59" t="s">
        <v>608</v>
      </c>
    </row>
    <row r="1188" customFormat="false" ht="15" hidden="false" customHeight="false" outlineLevel="0" collapsed="false">
      <c r="A1188" s="90" t="str">
        <f aca="false">Gov_Map!$H432&amp;""</f>
        <v>SRC_MOD_030</v>
      </c>
      <c r="B1188" s="71" t="s">
        <v>8333</v>
      </c>
      <c r="C1188" s="58" t="n">
        <v>432</v>
      </c>
      <c r="D1188" s="58" t="s">
        <v>8334</v>
      </c>
      <c r="E1188" s="58" t="s">
        <v>8334</v>
      </c>
      <c r="F1188" s="59" t="s">
        <v>608</v>
      </c>
    </row>
    <row r="1189" customFormat="false" ht="15" hidden="false" customHeight="false" outlineLevel="0" collapsed="false">
      <c r="A1189" s="90" t="str">
        <f aca="false">Gov_Map!$H433&amp;""</f>
        <v>SRC_MOD_031</v>
      </c>
      <c r="B1189" s="71" t="s">
        <v>8333</v>
      </c>
      <c r="C1189" s="58" t="n">
        <v>433</v>
      </c>
      <c r="D1189" s="58" t="s">
        <v>8334</v>
      </c>
      <c r="E1189" s="58" t="s">
        <v>8334</v>
      </c>
      <c r="F1189" s="59" t="s">
        <v>608</v>
      </c>
    </row>
    <row r="1190" customFormat="false" ht="15" hidden="false" customHeight="false" outlineLevel="0" collapsed="false">
      <c r="A1190" s="90" t="str">
        <f aca="false">Gov_Map!$H434&amp;""</f>
        <v>SRC_MOD_031</v>
      </c>
      <c r="B1190" s="71" t="s">
        <v>8333</v>
      </c>
      <c r="C1190" s="58" t="n">
        <v>434</v>
      </c>
      <c r="D1190" s="58" t="s">
        <v>8334</v>
      </c>
      <c r="E1190" s="58" t="s">
        <v>8334</v>
      </c>
      <c r="F1190" s="59" t="s">
        <v>608</v>
      </c>
    </row>
    <row r="1191" customFormat="false" ht="15" hidden="false" customHeight="false" outlineLevel="0" collapsed="false">
      <c r="A1191" s="90" t="str">
        <f aca="false">Gov_Map!$H435&amp;""</f>
        <v>SRC_MOD_039</v>
      </c>
      <c r="B1191" s="71" t="s">
        <v>8333</v>
      </c>
      <c r="C1191" s="58" t="n">
        <v>435</v>
      </c>
      <c r="D1191" s="58" t="s">
        <v>8334</v>
      </c>
      <c r="E1191" s="58" t="s">
        <v>8334</v>
      </c>
      <c r="F1191" s="59" t="s">
        <v>608</v>
      </c>
    </row>
    <row r="1192" customFormat="false" ht="15" hidden="false" customHeight="false" outlineLevel="0" collapsed="false">
      <c r="A1192" s="90" t="str">
        <f aca="false">Gov_Map!$H436&amp;""</f>
        <v>SRC_MOD_040</v>
      </c>
      <c r="B1192" s="71" t="s">
        <v>8333</v>
      </c>
      <c r="C1192" s="58" t="n">
        <v>436</v>
      </c>
      <c r="D1192" s="58" t="s">
        <v>8334</v>
      </c>
      <c r="E1192" s="58" t="s">
        <v>8334</v>
      </c>
      <c r="F1192" s="59" t="s">
        <v>608</v>
      </c>
    </row>
    <row r="1193" customFormat="false" ht="15" hidden="false" customHeight="false" outlineLevel="0" collapsed="false">
      <c r="A1193" s="90" t="str">
        <f aca="false">Gov_Map!$H437&amp;""</f>
        <v>SRC_MOD_042</v>
      </c>
      <c r="B1193" s="71" t="s">
        <v>8333</v>
      </c>
      <c r="C1193" s="58" t="n">
        <v>437</v>
      </c>
      <c r="D1193" s="58" t="s">
        <v>8334</v>
      </c>
      <c r="E1193" s="58" t="s">
        <v>8334</v>
      </c>
      <c r="F1193" s="59" t="s">
        <v>608</v>
      </c>
    </row>
    <row r="1194" customFormat="false" ht="15" hidden="false" customHeight="false" outlineLevel="0" collapsed="false">
      <c r="A1194" s="90" t="str">
        <f aca="false">Gov_Map!$H438&amp;""</f>
        <v>SRC_MOD_036</v>
      </c>
      <c r="B1194" s="71" t="s">
        <v>8333</v>
      </c>
      <c r="C1194" s="58" t="n">
        <v>438</v>
      </c>
      <c r="D1194" s="58" t="s">
        <v>8334</v>
      </c>
      <c r="E1194" s="58" t="s">
        <v>8334</v>
      </c>
      <c r="F1194" s="59" t="s">
        <v>608</v>
      </c>
    </row>
    <row r="1195" customFormat="false" ht="15" hidden="false" customHeight="false" outlineLevel="0" collapsed="false">
      <c r="A1195" s="90" t="str">
        <f aca="false">Gov_Map!$H439&amp;""</f>
        <v>SRC_MOD_043</v>
      </c>
      <c r="B1195" s="71" t="s">
        <v>8333</v>
      </c>
      <c r="C1195" s="58" t="n">
        <v>439</v>
      </c>
      <c r="D1195" s="58" t="s">
        <v>8334</v>
      </c>
      <c r="E1195" s="58" t="s">
        <v>8334</v>
      </c>
      <c r="F1195" s="59" t="s">
        <v>608</v>
      </c>
    </row>
    <row r="1196" customFormat="false" ht="15" hidden="false" customHeight="false" outlineLevel="0" collapsed="false">
      <c r="A1196" s="90" t="str">
        <f aca="false">Gov_Map!$H440&amp;""</f>
        <v>—</v>
      </c>
      <c r="B1196" s="71" t="s">
        <v>8333</v>
      </c>
      <c r="C1196" s="58" t="n">
        <v>440</v>
      </c>
      <c r="D1196" s="58" t="s">
        <v>8334</v>
      </c>
      <c r="E1196" s="58" t="s">
        <v>8334</v>
      </c>
      <c r="F1196" s="59" t="s">
        <v>608</v>
      </c>
    </row>
    <row r="1197" customFormat="false" ht="15" hidden="false" customHeight="false" outlineLevel="0" collapsed="false">
      <c r="A1197" s="90" t="str">
        <f aca="false">Gov_Map!$H441&amp;""</f>
        <v>—</v>
      </c>
      <c r="B1197" s="71" t="s">
        <v>8333</v>
      </c>
      <c r="C1197" s="58" t="n">
        <v>441</v>
      </c>
      <c r="D1197" s="58" t="s">
        <v>8334</v>
      </c>
      <c r="E1197" s="58" t="s">
        <v>8334</v>
      </c>
      <c r="F1197" s="59" t="s">
        <v>608</v>
      </c>
    </row>
    <row r="1198" customFormat="false" ht="15" hidden="false" customHeight="false" outlineLevel="0" collapsed="false">
      <c r="A1198" s="90" t="str">
        <f aca="false">Gov_Map!$H442&amp;""</f>
        <v>—</v>
      </c>
      <c r="B1198" s="71" t="s">
        <v>8333</v>
      </c>
      <c r="C1198" s="58" t="n">
        <v>442</v>
      </c>
      <c r="D1198" s="58" t="s">
        <v>8334</v>
      </c>
      <c r="E1198" s="58" t="s">
        <v>8334</v>
      </c>
      <c r="F1198" s="59" t="s">
        <v>608</v>
      </c>
    </row>
    <row r="1199" customFormat="false" ht="15" hidden="false" customHeight="false" outlineLevel="0" collapsed="false">
      <c r="A1199" s="90" t="str">
        <f aca="false">Gov_Map!$H443&amp;""</f>
        <v>—</v>
      </c>
      <c r="B1199" s="71" t="s">
        <v>8333</v>
      </c>
      <c r="C1199" s="58" t="n">
        <v>443</v>
      </c>
      <c r="D1199" s="58" t="s">
        <v>8334</v>
      </c>
      <c r="E1199" s="58" t="s">
        <v>8334</v>
      </c>
      <c r="F1199" s="59" t="s">
        <v>608</v>
      </c>
    </row>
    <row r="1200" customFormat="false" ht="15" hidden="false" customHeight="false" outlineLevel="0" collapsed="false">
      <c r="A1200" s="90" t="str">
        <f aca="false">Gov_Map!$H444&amp;""</f>
        <v>—</v>
      </c>
      <c r="B1200" s="71" t="s">
        <v>8333</v>
      </c>
      <c r="C1200" s="58" t="n">
        <v>444</v>
      </c>
      <c r="D1200" s="58" t="s">
        <v>8334</v>
      </c>
      <c r="E1200" s="58" t="s">
        <v>8334</v>
      </c>
      <c r="F1200" s="59" t="s">
        <v>608</v>
      </c>
    </row>
    <row r="1201" customFormat="false" ht="15" hidden="false" customHeight="false" outlineLevel="0" collapsed="false">
      <c r="A1201" s="90" t="str">
        <f aca="false">Gov_Map!$H445&amp;""</f>
        <v>—</v>
      </c>
      <c r="B1201" s="71" t="s">
        <v>8333</v>
      </c>
      <c r="C1201" s="58" t="n">
        <v>445</v>
      </c>
      <c r="D1201" s="58" t="s">
        <v>8334</v>
      </c>
      <c r="E1201" s="58" t="s">
        <v>8334</v>
      </c>
      <c r="F1201" s="59" t="s">
        <v>608</v>
      </c>
    </row>
    <row r="1202" customFormat="false" ht="15" hidden="false" customHeight="false" outlineLevel="0" collapsed="false">
      <c r="A1202" s="90" t="str">
        <f aca="false">Gov_Map!$H446&amp;""</f>
        <v>—</v>
      </c>
      <c r="B1202" s="71" t="s">
        <v>8333</v>
      </c>
      <c r="C1202" s="58" t="n">
        <v>446</v>
      </c>
      <c r="D1202" s="58" t="s">
        <v>8334</v>
      </c>
      <c r="E1202" s="58" t="s">
        <v>8334</v>
      </c>
      <c r="F1202" s="59" t="s">
        <v>608</v>
      </c>
    </row>
    <row r="1203" customFormat="false" ht="15" hidden="false" customHeight="false" outlineLevel="0" collapsed="false">
      <c r="A1203" s="90" t="str">
        <f aca="false">Gov_Map!$H447&amp;""</f>
        <v>—</v>
      </c>
      <c r="B1203" s="71" t="s">
        <v>8333</v>
      </c>
      <c r="C1203" s="58" t="n">
        <v>447</v>
      </c>
      <c r="D1203" s="58" t="s">
        <v>8334</v>
      </c>
      <c r="E1203" s="58" t="s">
        <v>8334</v>
      </c>
      <c r="F1203" s="59" t="s">
        <v>608</v>
      </c>
    </row>
    <row r="1204" customFormat="false" ht="15" hidden="false" customHeight="false" outlineLevel="0" collapsed="false">
      <c r="A1204" s="90" t="str">
        <f aca="false">Gov_Map!$H448&amp;""</f>
        <v>—</v>
      </c>
      <c r="B1204" s="71" t="s">
        <v>8333</v>
      </c>
      <c r="C1204" s="58" t="n">
        <v>448</v>
      </c>
      <c r="D1204" s="58" t="s">
        <v>8334</v>
      </c>
      <c r="E1204" s="58" t="s">
        <v>8334</v>
      </c>
      <c r="F1204" s="59" t="s">
        <v>608</v>
      </c>
    </row>
    <row r="1205" customFormat="false" ht="15" hidden="false" customHeight="false" outlineLevel="0" collapsed="false">
      <c r="A1205" s="90" t="str">
        <f aca="false">Gov_Map!$H449&amp;""</f>
        <v>—</v>
      </c>
      <c r="B1205" s="71" t="s">
        <v>8333</v>
      </c>
      <c r="C1205" s="58" t="n">
        <v>449</v>
      </c>
      <c r="D1205" s="58" t="s">
        <v>8334</v>
      </c>
      <c r="E1205" s="58" t="s">
        <v>8334</v>
      </c>
      <c r="F1205" s="59" t="s">
        <v>608</v>
      </c>
    </row>
    <row r="1206" customFormat="false" ht="15" hidden="false" customHeight="false" outlineLevel="0" collapsed="false">
      <c r="A1206" s="90" t="str">
        <f aca="false">Gov_Map!$H450&amp;""</f>
        <v>—</v>
      </c>
      <c r="B1206" s="71" t="s">
        <v>8333</v>
      </c>
      <c r="C1206" s="58" t="n">
        <v>450</v>
      </c>
      <c r="D1206" s="58" t="s">
        <v>8334</v>
      </c>
      <c r="E1206" s="58" t="s">
        <v>8334</v>
      </c>
      <c r="F1206" s="59" t="s">
        <v>608</v>
      </c>
    </row>
    <row r="1207" customFormat="false" ht="15" hidden="false" customHeight="false" outlineLevel="0" collapsed="false">
      <c r="A1207" s="90" t="str">
        <f aca="false">Gov_Map!$H451&amp;""</f>
        <v>—</v>
      </c>
      <c r="B1207" s="71" t="s">
        <v>8333</v>
      </c>
      <c r="C1207" s="58" t="n">
        <v>451</v>
      </c>
      <c r="D1207" s="58" t="s">
        <v>8334</v>
      </c>
      <c r="E1207" s="58" t="s">
        <v>8334</v>
      </c>
      <c r="F1207" s="59" t="s">
        <v>608</v>
      </c>
    </row>
    <row r="1208" customFormat="false" ht="15" hidden="false" customHeight="false" outlineLevel="0" collapsed="false">
      <c r="A1208" s="90" t="str">
        <f aca="false">Gov_Map!$H452&amp;""</f>
        <v>—</v>
      </c>
      <c r="B1208" s="71" t="s">
        <v>8333</v>
      </c>
      <c r="C1208" s="58" t="n">
        <v>452</v>
      </c>
      <c r="D1208" s="58" t="s">
        <v>8334</v>
      </c>
      <c r="E1208" s="58" t="s">
        <v>8334</v>
      </c>
      <c r="F1208" s="59" t="s">
        <v>608</v>
      </c>
    </row>
    <row r="1209" customFormat="false" ht="15" hidden="false" customHeight="false" outlineLevel="0" collapsed="false">
      <c r="A1209" s="90" t="str">
        <f aca="false">Gov_Map!$H453&amp;""</f>
        <v>—</v>
      </c>
      <c r="B1209" s="71" t="s">
        <v>8333</v>
      </c>
      <c r="C1209" s="58" t="n">
        <v>453</v>
      </c>
      <c r="D1209" s="58" t="s">
        <v>8334</v>
      </c>
      <c r="E1209" s="58" t="s">
        <v>8334</v>
      </c>
      <c r="F1209" s="59" t="s">
        <v>608</v>
      </c>
    </row>
    <row r="1210" customFormat="false" ht="15" hidden="false" customHeight="false" outlineLevel="0" collapsed="false">
      <c r="A1210" s="90" t="str">
        <f aca="false">Gov_Map!$H454&amp;""</f>
        <v>—</v>
      </c>
      <c r="B1210" s="71" t="s">
        <v>8333</v>
      </c>
      <c r="C1210" s="58" t="n">
        <v>454</v>
      </c>
      <c r="D1210" s="58" t="s">
        <v>8334</v>
      </c>
      <c r="E1210" s="58" t="s">
        <v>8334</v>
      </c>
      <c r="F1210" s="59" t="s">
        <v>608</v>
      </c>
    </row>
    <row r="1211" customFormat="false" ht="15" hidden="false" customHeight="false" outlineLevel="0" collapsed="false">
      <c r="A1211" s="90" t="str">
        <f aca="false">Gov_Map!$H455&amp;""</f>
        <v>—</v>
      </c>
      <c r="B1211" s="71" t="s">
        <v>8333</v>
      </c>
      <c r="C1211" s="58" t="n">
        <v>455</v>
      </c>
      <c r="D1211" s="58" t="s">
        <v>8334</v>
      </c>
      <c r="E1211" s="58" t="s">
        <v>8334</v>
      </c>
      <c r="F1211" s="59" t="s">
        <v>608</v>
      </c>
    </row>
    <row r="1212" customFormat="false" ht="15" hidden="false" customHeight="false" outlineLevel="0" collapsed="false">
      <c r="A1212" s="90" t="str">
        <f aca="false">Gov_Map!$H456&amp;""</f>
        <v>—</v>
      </c>
      <c r="B1212" s="71" t="s">
        <v>8333</v>
      </c>
      <c r="C1212" s="58" t="n">
        <v>456</v>
      </c>
      <c r="D1212" s="58" t="s">
        <v>8334</v>
      </c>
      <c r="E1212" s="58" t="s">
        <v>8334</v>
      </c>
      <c r="F1212" s="59" t="s">
        <v>608</v>
      </c>
    </row>
    <row r="1213" customFormat="false" ht="15" hidden="false" customHeight="false" outlineLevel="0" collapsed="false">
      <c r="A1213" s="90" t="str">
        <f aca="false">Gov_Map!$H457&amp;""</f>
        <v>SRC_DEM_004</v>
      </c>
      <c r="B1213" s="71" t="s">
        <v>8333</v>
      </c>
      <c r="C1213" s="58" t="n">
        <v>457</v>
      </c>
      <c r="D1213" s="58" t="s">
        <v>8334</v>
      </c>
      <c r="E1213" s="58" t="s">
        <v>8334</v>
      </c>
      <c r="F1213" s="59" t="s">
        <v>608</v>
      </c>
    </row>
    <row r="1214" customFormat="false" ht="15" hidden="false" customHeight="false" outlineLevel="0" collapsed="false">
      <c r="A1214" s="90" t="str">
        <f aca="false">Gov_Map!$H458&amp;""</f>
        <v>—</v>
      </c>
      <c r="B1214" s="71" t="s">
        <v>8333</v>
      </c>
      <c r="C1214" s="58" t="n">
        <v>458</v>
      </c>
      <c r="D1214" s="58" t="s">
        <v>8334</v>
      </c>
      <c r="E1214" s="58" t="s">
        <v>8334</v>
      </c>
      <c r="F1214" s="59" t="s">
        <v>608</v>
      </c>
    </row>
    <row r="1215" customFormat="false" ht="15" hidden="false" customHeight="false" outlineLevel="0" collapsed="false">
      <c r="A1215" s="90" t="str">
        <f aca="false">Gov_Map!$H459&amp;""</f>
        <v>SRC_DEM_005</v>
      </c>
      <c r="B1215" s="71" t="s">
        <v>8333</v>
      </c>
      <c r="C1215" s="58" t="n">
        <v>459</v>
      </c>
      <c r="D1215" s="58" t="s">
        <v>8334</v>
      </c>
      <c r="E1215" s="58" t="s">
        <v>8334</v>
      </c>
      <c r="F1215" s="59" t="s">
        <v>608</v>
      </c>
    </row>
    <row r="1216" customFormat="false" ht="15" hidden="false" customHeight="false" outlineLevel="0" collapsed="false">
      <c r="A1216" s="90" t="str">
        <f aca="false">Gov_Map!$H460&amp;""</f>
        <v>—</v>
      </c>
      <c r="B1216" s="71" t="s">
        <v>8333</v>
      </c>
      <c r="C1216" s="58" t="n">
        <v>460</v>
      </c>
      <c r="D1216" s="58" t="s">
        <v>8334</v>
      </c>
      <c r="E1216" s="58" t="s">
        <v>8334</v>
      </c>
      <c r="F1216" s="59" t="s">
        <v>608</v>
      </c>
    </row>
    <row r="1217" customFormat="false" ht="15" hidden="false" customHeight="false" outlineLevel="0" collapsed="false">
      <c r="A1217" s="90" t="str">
        <f aca="false">Gov_Map!$H461&amp;""</f>
        <v>—</v>
      </c>
      <c r="B1217" s="71" t="s">
        <v>8333</v>
      </c>
      <c r="C1217" s="58" t="n">
        <v>461</v>
      </c>
      <c r="D1217" s="58" t="s">
        <v>8334</v>
      </c>
      <c r="E1217" s="58" t="s">
        <v>8334</v>
      </c>
      <c r="F1217" s="59" t="s">
        <v>608</v>
      </c>
    </row>
    <row r="1218" customFormat="false" ht="15" hidden="false" customHeight="false" outlineLevel="0" collapsed="false">
      <c r="A1218" s="90" t="str">
        <f aca="false">Gov_Map!$H462&amp;""</f>
        <v>—</v>
      </c>
      <c r="B1218" s="71" t="s">
        <v>8333</v>
      </c>
      <c r="C1218" s="58" t="n">
        <v>462</v>
      </c>
      <c r="D1218" s="58" t="s">
        <v>8334</v>
      </c>
      <c r="E1218" s="58" t="s">
        <v>8334</v>
      </c>
      <c r="F1218" s="59" t="s">
        <v>608</v>
      </c>
    </row>
    <row r="1219" customFormat="false" ht="15" hidden="false" customHeight="false" outlineLevel="0" collapsed="false">
      <c r="A1219" s="90" t="str">
        <f aca="false">Gov_Map!$H463&amp;""</f>
        <v>—</v>
      </c>
      <c r="B1219" s="71" t="s">
        <v>8333</v>
      </c>
      <c r="C1219" s="58" t="n">
        <v>463</v>
      </c>
      <c r="D1219" s="58" t="s">
        <v>8334</v>
      </c>
      <c r="E1219" s="58" t="s">
        <v>8334</v>
      </c>
      <c r="F1219" s="59" t="s">
        <v>608</v>
      </c>
    </row>
    <row r="1220" customFormat="false" ht="15" hidden="false" customHeight="false" outlineLevel="0" collapsed="false">
      <c r="A1220" s="90" t="str">
        <f aca="false">Gov_Map!$H464&amp;""</f>
        <v>—</v>
      </c>
      <c r="B1220" s="71" t="s">
        <v>8333</v>
      </c>
      <c r="C1220" s="58" t="n">
        <v>464</v>
      </c>
      <c r="D1220" s="58" t="s">
        <v>8334</v>
      </c>
      <c r="E1220" s="58" t="s">
        <v>8334</v>
      </c>
      <c r="F1220" s="59" t="s">
        <v>608</v>
      </c>
    </row>
    <row r="1221" customFormat="false" ht="15" hidden="false" customHeight="false" outlineLevel="0" collapsed="false">
      <c r="A1221" s="90" t="str">
        <f aca="false">Gov_Map!$H465&amp;""</f>
        <v>—</v>
      </c>
      <c r="B1221" s="71" t="s">
        <v>8333</v>
      </c>
      <c r="C1221" s="58" t="n">
        <v>465</v>
      </c>
      <c r="D1221" s="58" t="s">
        <v>8334</v>
      </c>
      <c r="E1221" s="58" t="s">
        <v>8334</v>
      </c>
      <c r="F1221" s="59" t="s">
        <v>608</v>
      </c>
    </row>
    <row r="1222" customFormat="false" ht="15" hidden="false" customHeight="false" outlineLevel="0" collapsed="false">
      <c r="A1222" s="90" t="str">
        <f aca="false">Gov_Map!$H466&amp;""</f>
        <v>—</v>
      </c>
      <c r="B1222" s="71" t="s">
        <v>8333</v>
      </c>
      <c r="C1222" s="58" t="n">
        <v>466</v>
      </c>
      <c r="D1222" s="58" t="s">
        <v>8334</v>
      </c>
      <c r="E1222" s="58" t="s">
        <v>8334</v>
      </c>
      <c r="F1222" s="59" t="s">
        <v>608</v>
      </c>
    </row>
    <row r="1223" customFormat="false" ht="15" hidden="false" customHeight="false" outlineLevel="0" collapsed="false">
      <c r="A1223" s="90" t="str">
        <f aca="false">Gov_Map!$H467&amp;""</f>
        <v>—</v>
      </c>
      <c r="B1223" s="71" t="s">
        <v>8333</v>
      </c>
      <c r="C1223" s="58" t="n">
        <v>467</v>
      </c>
      <c r="D1223" s="58" t="s">
        <v>8334</v>
      </c>
      <c r="E1223" s="58" t="s">
        <v>8334</v>
      </c>
      <c r="F1223" s="59" t="s">
        <v>608</v>
      </c>
    </row>
    <row r="1224" customFormat="false" ht="15" hidden="false" customHeight="false" outlineLevel="0" collapsed="false">
      <c r="A1224" s="90" t="str">
        <f aca="false">Gov_Map!$H468&amp;""</f>
        <v>—</v>
      </c>
      <c r="B1224" s="71" t="s">
        <v>8333</v>
      </c>
      <c r="C1224" s="58" t="n">
        <v>468</v>
      </c>
      <c r="D1224" s="58" t="s">
        <v>8334</v>
      </c>
      <c r="E1224" s="58" t="s">
        <v>8334</v>
      </c>
      <c r="F1224" s="59" t="s">
        <v>608</v>
      </c>
    </row>
    <row r="1225" customFormat="false" ht="15" hidden="false" customHeight="false" outlineLevel="0" collapsed="false">
      <c r="A1225" s="90" t="str">
        <f aca="false">Gov_Map!$H469&amp;""</f>
        <v>—</v>
      </c>
      <c r="B1225" s="71" t="s">
        <v>8333</v>
      </c>
      <c r="C1225" s="58" t="n">
        <v>469</v>
      </c>
      <c r="D1225" s="58" t="s">
        <v>8334</v>
      </c>
      <c r="E1225" s="58" t="s">
        <v>8334</v>
      </c>
      <c r="F1225" s="59" t="s">
        <v>608</v>
      </c>
    </row>
    <row r="1226" customFormat="false" ht="15" hidden="false" customHeight="false" outlineLevel="0" collapsed="false">
      <c r="A1226" s="90" t="str">
        <f aca="false">Gov_Map!$H470&amp;""</f>
        <v>—</v>
      </c>
      <c r="B1226" s="71" t="s">
        <v>8333</v>
      </c>
      <c r="C1226" s="58" t="n">
        <v>470</v>
      </c>
      <c r="D1226" s="58" t="s">
        <v>8334</v>
      </c>
      <c r="E1226" s="58" t="s">
        <v>8334</v>
      </c>
      <c r="F1226" s="59" t="s">
        <v>608</v>
      </c>
    </row>
    <row r="1227" customFormat="false" ht="15" hidden="false" customHeight="false" outlineLevel="0" collapsed="false">
      <c r="A1227" s="90" t="str">
        <f aca="false">Gov_Map!$H471&amp;""</f>
        <v>—</v>
      </c>
      <c r="B1227" s="71" t="s">
        <v>8333</v>
      </c>
      <c r="C1227" s="58" t="n">
        <v>471</v>
      </c>
      <c r="D1227" s="58" t="s">
        <v>8334</v>
      </c>
      <c r="E1227" s="58" t="s">
        <v>8334</v>
      </c>
      <c r="F1227" s="59" t="s">
        <v>608</v>
      </c>
    </row>
    <row r="1228" customFormat="false" ht="15" hidden="false" customHeight="false" outlineLevel="0" collapsed="false">
      <c r="A1228" s="90" t="str">
        <f aca="false">Gov_Map!$H472&amp;""</f>
        <v>—</v>
      </c>
      <c r="B1228" s="71" t="s">
        <v>8333</v>
      </c>
      <c r="C1228" s="58" t="n">
        <v>472</v>
      </c>
      <c r="D1228" s="58" t="s">
        <v>8334</v>
      </c>
      <c r="E1228" s="58" t="s">
        <v>8334</v>
      </c>
      <c r="F1228" s="59" t="s">
        <v>608</v>
      </c>
    </row>
    <row r="1229" customFormat="false" ht="15" hidden="false" customHeight="false" outlineLevel="0" collapsed="false">
      <c r="A1229" s="90" t="str">
        <f aca="false">Gov_Map!$H473&amp;""</f>
        <v>—</v>
      </c>
      <c r="B1229" s="71" t="s">
        <v>8333</v>
      </c>
      <c r="C1229" s="58" t="n">
        <v>473</v>
      </c>
      <c r="D1229" s="58" t="s">
        <v>8334</v>
      </c>
      <c r="E1229" s="58" t="s">
        <v>8334</v>
      </c>
      <c r="F1229" s="59" t="s">
        <v>608</v>
      </c>
    </row>
    <row r="1230" customFormat="false" ht="15" hidden="false" customHeight="false" outlineLevel="0" collapsed="false">
      <c r="A1230" s="90" t="str">
        <f aca="false">Gov_Map!$H474&amp;""</f>
        <v>—</v>
      </c>
      <c r="B1230" s="71" t="s">
        <v>8333</v>
      </c>
      <c r="C1230" s="58" t="n">
        <v>474</v>
      </c>
      <c r="D1230" s="58" t="s">
        <v>8334</v>
      </c>
      <c r="E1230" s="58" t="s">
        <v>8334</v>
      </c>
      <c r="F1230" s="59" t="s">
        <v>608</v>
      </c>
    </row>
    <row r="1231" customFormat="false" ht="15" hidden="false" customHeight="false" outlineLevel="0" collapsed="false">
      <c r="A1231" s="90" t="str">
        <f aca="false">Gov_Map!$H475&amp;""</f>
        <v>—</v>
      </c>
      <c r="B1231" s="71" t="s">
        <v>8333</v>
      </c>
      <c r="C1231" s="58" t="n">
        <v>475</v>
      </c>
      <c r="D1231" s="58" t="s">
        <v>8334</v>
      </c>
      <c r="E1231" s="58" t="s">
        <v>8334</v>
      </c>
      <c r="F1231" s="59" t="s">
        <v>608</v>
      </c>
    </row>
    <row r="1232" customFormat="false" ht="15" hidden="false" customHeight="false" outlineLevel="0" collapsed="false">
      <c r="A1232" s="90" t="str">
        <f aca="false">Gov_Map!$H476&amp;""</f>
        <v>—</v>
      </c>
      <c r="B1232" s="71" t="s">
        <v>8333</v>
      </c>
      <c r="C1232" s="58" t="n">
        <v>476</v>
      </c>
      <c r="D1232" s="58" t="s">
        <v>8334</v>
      </c>
      <c r="E1232" s="58" t="s">
        <v>8334</v>
      </c>
      <c r="F1232" s="59" t="s">
        <v>608</v>
      </c>
    </row>
    <row r="1233" customFormat="false" ht="15" hidden="false" customHeight="false" outlineLevel="0" collapsed="false">
      <c r="A1233" s="90" t="str">
        <f aca="false">Gov_Map!$H477&amp;""</f>
        <v>SRC_PRC_027</v>
      </c>
      <c r="B1233" s="71" t="s">
        <v>8333</v>
      </c>
      <c r="C1233" s="58" t="n">
        <v>477</v>
      </c>
      <c r="D1233" s="58" t="s">
        <v>8334</v>
      </c>
      <c r="E1233" s="58" t="s">
        <v>8334</v>
      </c>
      <c r="F1233" s="59" t="s">
        <v>608</v>
      </c>
    </row>
    <row r="1234" customFormat="false" ht="15" hidden="false" customHeight="false" outlineLevel="0" collapsed="false">
      <c r="A1234" s="90" t="str">
        <f aca="false">Gov_Map!$H478&amp;""</f>
        <v>—</v>
      </c>
      <c r="B1234" s="71" t="s">
        <v>8333</v>
      </c>
      <c r="C1234" s="58" t="n">
        <v>478</v>
      </c>
      <c r="D1234" s="58" t="s">
        <v>8334</v>
      </c>
      <c r="E1234" s="58" t="s">
        <v>8334</v>
      </c>
      <c r="F1234" s="59" t="s">
        <v>608</v>
      </c>
    </row>
    <row r="1235" customFormat="false" ht="15" hidden="false" customHeight="false" outlineLevel="0" collapsed="false">
      <c r="A1235" s="90" t="str">
        <f aca="false">Gov_Map!$H479&amp;""</f>
        <v>—</v>
      </c>
      <c r="B1235" s="71" t="s">
        <v>8333</v>
      </c>
      <c r="C1235" s="58" t="n">
        <v>479</v>
      </c>
      <c r="D1235" s="58" t="s">
        <v>8334</v>
      </c>
      <c r="E1235" s="58" t="s">
        <v>8334</v>
      </c>
      <c r="F1235" s="59" t="s">
        <v>608</v>
      </c>
    </row>
    <row r="1236" customFormat="false" ht="15" hidden="false" customHeight="false" outlineLevel="0" collapsed="false">
      <c r="A1236" s="90" t="str">
        <f aca="false">Gov_Map!$H480&amp;""</f>
        <v>—</v>
      </c>
      <c r="B1236" s="71" t="s">
        <v>8333</v>
      </c>
      <c r="C1236" s="58" t="n">
        <v>480</v>
      </c>
      <c r="D1236" s="58" t="s">
        <v>8334</v>
      </c>
      <c r="E1236" s="58" t="s">
        <v>8334</v>
      </c>
      <c r="F1236" s="59" t="s">
        <v>608</v>
      </c>
    </row>
    <row r="1237" customFormat="false" ht="15" hidden="false" customHeight="false" outlineLevel="0" collapsed="false">
      <c r="A1237" s="90" t="str">
        <f aca="false">Gov_Map!$H481&amp;""</f>
        <v>SRC_CAP_007</v>
      </c>
      <c r="B1237" s="71" t="s">
        <v>8333</v>
      </c>
      <c r="C1237" s="58" t="n">
        <v>481</v>
      </c>
      <c r="D1237" s="58" t="s">
        <v>8334</v>
      </c>
      <c r="E1237" s="58" t="s">
        <v>8334</v>
      </c>
      <c r="F1237" s="59" t="s">
        <v>608</v>
      </c>
    </row>
    <row r="1238" customFormat="false" ht="15" hidden="false" customHeight="false" outlineLevel="0" collapsed="false">
      <c r="A1238" s="90" t="str">
        <f aca="false">Gov_Map!$H482&amp;""</f>
        <v>SRC_CAP_006</v>
      </c>
      <c r="B1238" s="71" t="s">
        <v>8333</v>
      </c>
      <c r="C1238" s="58" t="n">
        <v>482</v>
      </c>
      <c r="D1238" s="58" t="s">
        <v>8334</v>
      </c>
      <c r="E1238" s="58" t="s">
        <v>8334</v>
      </c>
      <c r="F1238" s="59" t="s">
        <v>608</v>
      </c>
    </row>
    <row r="1239" customFormat="false" ht="15" hidden="false" customHeight="false" outlineLevel="0" collapsed="false">
      <c r="A1239" s="90" t="str">
        <f aca="false">Gov_Map!$H483&amp;""</f>
        <v>—</v>
      </c>
      <c r="B1239" s="71" t="s">
        <v>8333</v>
      </c>
      <c r="C1239" s="58" t="n">
        <v>483</v>
      </c>
      <c r="D1239" s="58" t="s">
        <v>8334</v>
      </c>
      <c r="E1239" s="58" t="s">
        <v>8334</v>
      </c>
      <c r="F1239" s="59" t="s">
        <v>608</v>
      </c>
    </row>
    <row r="1240" customFormat="false" ht="15" hidden="false" customHeight="false" outlineLevel="0" collapsed="false">
      <c r="A1240" s="90" t="str">
        <f aca="false">Gov_Map!$H484&amp;""</f>
        <v>—</v>
      </c>
      <c r="B1240" s="71" t="s">
        <v>8333</v>
      </c>
      <c r="C1240" s="58" t="n">
        <v>484</v>
      </c>
      <c r="D1240" s="58" t="s">
        <v>8334</v>
      </c>
      <c r="E1240" s="58" t="s">
        <v>8334</v>
      </c>
      <c r="F1240" s="59" t="s">
        <v>608</v>
      </c>
    </row>
    <row r="1241" customFormat="false" ht="15" hidden="false" customHeight="false" outlineLevel="0" collapsed="false">
      <c r="A1241" s="90" t="str">
        <f aca="false">Gov_Map!$H485&amp;""</f>
        <v>—</v>
      </c>
      <c r="B1241" s="71" t="s">
        <v>8333</v>
      </c>
      <c r="C1241" s="58" t="n">
        <v>485</v>
      </c>
      <c r="D1241" s="58" t="s">
        <v>8334</v>
      </c>
      <c r="E1241" s="58" t="s">
        <v>8334</v>
      </c>
      <c r="F1241" s="59" t="s">
        <v>608</v>
      </c>
    </row>
    <row r="1242" customFormat="false" ht="15" hidden="false" customHeight="false" outlineLevel="0" collapsed="false">
      <c r="A1242" s="90" t="str">
        <f aca="false">Gov_Map!$H486&amp;""</f>
        <v>—</v>
      </c>
      <c r="B1242" s="71" t="s">
        <v>8333</v>
      </c>
      <c r="C1242" s="58" t="n">
        <v>486</v>
      </c>
      <c r="D1242" s="58" t="s">
        <v>8334</v>
      </c>
      <c r="E1242" s="58" t="s">
        <v>8334</v>
      </c>
      <c r="F1242" s="59" t="s">
        <v>608</v>
      </c>
    </row>
    <row r="1243" customFormat="false" ht="15" hidden="false" customHeight="false" outlineLevel="0" collapsed="false">
      <c r="A1243" s="90" t="str">
        <f aca="false">Gov_Map!$H487&amp;""</f>
        <v>—</v>
      </c>
      <c r="B1243" s="71" t="s">
        <v>8333</v>
      </c>
      <c r="C1243" s="58" t="n">
        <v>487</v>
      </c>
      <c r="D1243" s="58" t="s">
        <v>8334</v>
      </c>
      <c r="E1243" s="58" t="s">
        <v>8334</v>
      </c>
      <c r="F1243" s="59" t="s">
        <v>608</v>
      </c>
    </row>
    <row r="1244" customFormat="false" ht="15" hidden="false" customHeight="false" outlineLevel="0" collapsed="false">
      <c r="A1244" s="90" t="str">
        <f aca="false">Gov_Map!$H488&amp;""</f>
        <v>—</v>
      </c>
      <c r="B1244" s="71" t="s">
        <v>8333</v>
      </c>
      <c r="C1244" s="58" t="n">
        <v>488</v>
      </c>
      <c r="D1244" s="58" t="s">
        <v>8334</v>
      </c>
      <c r="E1244" s="58" t="s">
        <v>8334</v>
      </c>
      <c r="F1244" s="59" t="s">
        <v>608</v>
      </c>
    </row>
    <row r="1245" customFormat="false" ht="15" hidden="false" customHeight="false" outlineLevel="0" collapsed="false">
      <c r="A1245" s="90" t="str">
        <f aca="false">Gov_Map!$H489&amp;""</f>
        <v>—</v>
      </c>
      <c r="B1245" s="71" t="s">
        <v>8333</v>
      </c>
      <c r="C1245" s="58" t="n">
        <v>489</v>
      </c>
      <c r="D1245" s="58" t="s">
        <v>8334</v>
      </c>
      <c r="E1245" s="58" t="s">
        <v>8334</v>
      </c>
      <c r="F1245" s="59" t="s">
        <v>608</v>
      </c>
    </row>
    <row r="1246" customFormat="false" ht="15" hidden="false" customHeight="false" outlineLevel="0" collapsed="false">
      <c r="A1246" s="90" t="str">
        <f aca="false">Gov_Map!$H490&amp;""</f>
        <v>—</v>
      </c>
      <c r="B1246" s="71" t="s">
        <v>8333</v>
      </c>
      <c r="C1246" s="58" t="n">
        <v>490</v>
      </c>
      <c r="D1246" s="58" t="s">
        <v>8334</v>
      </c>
      <c r="E1246" s="58" t="s">
        <v>8334</v>
      </c>
      <c r="F1246" s="59" t="s">
        <v>608</v>
      </c>
    </row>
    <row r="1247" customFormat="false" ht="15" hidden="false" customHeight="false" outlineLevel="0" collapsed="false">
      <c r="A1247" s="90" t="str">
        <f aca="false">Gov_Map!$H491&amp;""</f>
        <v>—</v>
      </c>
      <c r="B1247" s="71" t="s">
        <v>8333</v>
      </c>
      <c r="C1247" s="58" t="n">
        <v>491</v>
      </c>
      <c r="D1247" s="58" t="s">
        <v>8334</v>
      </c>
      <c r="E1247" s="58" t="s">
        <v>8334</v>
      </c>
      <c r="F1247" s="59" t="s">
        <v>608</v>
      </c>
    </row>
    <row r="1248" customFormat="false" ht="15" hidden="false" customHeight="false" outlineLevel="0" collapsed="false">
      <c r="A1248" s="90" t="str">
        <f aca="false">Gov_Map!$H492&amp;""</f>
        <v>SRC_HAR_003</v>
      </c>
      <c r="B1248" s="71" t="s">
        <v>8333</v>
      </c>
      <c r="C1248" s="58" t="n">
        <v>492</v>
      </c>
      <c r="D1248" s="58" t="s">
        <v>8334</v>
      </c>
      <c r="E1248" s="58" t="s">
        <v>8334</v>
      </c>
      <c r="F1248" s="59" t="s">
        <v>608</v>
      </c>
    </row>
    <row r="1249" customFormat="false" ht="15" hidden="false" customHeight="false" outlineLevel="0" collapsed="false">
      <c r="A1249" s="90" t="str">
        <f aca="false">Gov_Map!$H493&amp;""</f>
        <v>—</v>
      </c>
      <c r="B1249" s="71" t="s">
        <v>8333</v>
      </c>
      <c r="C1249" s="58" t="n">
        <v>493</v>
      </c>
      <c r="D1249" s="58" t="s">
        <v>8334</v>
      </c>
      <c r="E1249" s="58" t="s">
        <v>8334</v>
      </c>
      <c r="F1249" s="59" t="s">
        <v>608</v>
      </c>
    </row>
    <row r="1250" customFormat="false" ht="15" hidden="false" customHeight="false" outlineLevel="0" collapsed="false">
      <c r="A1250" s="90" t="str">
        <f aca="false">Gov_Map!$H494&amp;""</f>
        <v>—</v>
      </c>
      <c r="B1250" s="71" t="s">
        <v>8333</v>
      </c>
      <c r="C1250" s="58" t="n">
        <v>494</v>
      </c>
      <c r="D1250" s="58" t="s">
        <v>8334</v>
      </c>
      <c r="E1250" s="58" t="s">
        <v>8334</v>
      </c>
      <c r="F1250" s="59" t="s">
        <v>608</v>
      </c>
    </row>
    <row r="1251" customFormat="false" ht="15" hidden="false" customHeight="false" outlineLevel="0" collapsed="false">
      <c r="A1251" s="90" t="str">
        <f aca="false">Gov_Map!$H495&amp;""</f>
        <v>—</v>
      </c>
      <c r="B1251" s="71" t="s">
        <v>8333</v>
      </c>
      <c r="C1251" s="58" t="n">
        <v>495</v>
      </c>
      <c r="D1251" s="58" t="s">
        <v>8334</v>
      </c>
      <c r="E1251" s="58" t="s">
        <v>8334</v>
      </c>
      <c r="F1251" s="59" t="s">
        <v>608</v>
      </c>
    </row>
    <row r="1252" customFormat="false" ht="15" hidden="false" customHeight="false" outlineLevel="0" collapsed="false">
      <c r="A1252" s="90" t="str">
        <f aca="false">Gov_Map!$H496&amp;""</f>
        <v>—</v>
      </c>
      <c r="B1252" s="71" t="s">
        <v>8333</v>
      </c>
      <c r="C1252" s="58" t="n">
        <v>496</v>
      </c>
      <c r="D1252" s="58" t="s">
        <v>8334</v>
      </c>
      <c r="E1252" s="58" t="s">
        <v>8334</v>
      </c>
      <c r="F1252" s="59" t="s">
        <v>608</v>
      </c>
    </row>
    <row r="1253" customFormat="false" ht="15" hidden="false" customHeight="false" outlineLevel="0" collapsed="false">
      <c r="A1253" s="90" t="str">
        <f aca="false">Gov_Map!$H497&amp;""</f>
        <v>—</v>
      </c>
      <c r="B1253" s="71" t="s">
        <v>8333</v>
      </c>
      <c r="C1253" s="58" t="n">
        <v>497</v>
      </c>
      <c r="D1253" s="58" t="s">
        <v>8334</v>
      </c>
      <c r="E1253" s="58" t="s">
        <v>8334</v>
      </c>
      <c r="F1253" s="59" t="s">
        <v>608</v>
      </c>
    </row>
    <row r="1254" customFormat="false" ht="15" hidden="false" customHeight="false" outlineLevel="0" collapsed="false">
      <c r="A1254" s="90" t="str">
        <f aca="false">Gov_Map!$H498&amp;""</f>
        <v>—</v>
      </c>
      <c r="B1254" s="71" t="s">
        <v>8333</v>
      </c>
      <c r="C1254" s="58" t="n">
        <v>498</v>
      </c>
      <c r="D1254" s="58" t="s">
        <v>8334</v>
      </c>
      <c r="E1254" s="58" t="s">
        <v>8334</v>
      </c>
      <c r="F1254" s="59" t="s">
        <v>608</v>
      </c>
    </row>
    <row r="1255" customFormat="false" ht="15" hidden="false" customHeight="false" outlineLevel="0" collapsed="false">
      <c r="A1255" s="90" t="str">
        <f aca="false">Gov_Map!$H499&amp;""</f>
        <v>—</v>
      </c>
      <c r="B1255" s="71" t="s">
        <v>8333</v>
      </c>
      <c r="C1255" s="58" t="n">
        <v>499</v>
      </c>
      <c r="D1255" s="58" t="s">
        <v>8334</v>
      </c>
      <c r="E1255" s="58" t="s">
        <v>8334</v>
      </c>
      <c r="F1255" s="59" t="s">
        <v>608</v>
      </c>
    </row>
    <row r="1256" customFormat="false" ht="15" hidden="false" customHeight="false" outlineLevel="0" collapsed="false">
      <c r="A1256" s="90" t="str">
        <f aca="false">Gov_Map!$H500&amp;""</f>
        <v>—</v>
      </c>
      <c r="B1256" s="71" t="s">
        <v>8333</v>
      </c>
      <c r="C1256" s="58" t="n">
        <v>500</v>
      </c>
      <c r="D1256" s="58" t="s">
        <v>8334</v>
      </c>
      <c r="E1256" s="58" t="s">
        <v>8334</v>
      </c>
      <c r="F1256" s="59" t="s">
        <v>608</v>
      </c>
    </row>
    <row r="1257" customFormat="false" ht="15" hidden="false" customHeight="false" outlineLevel="0" collapsed="false">
      <c r="A1257" s="90" t="str">
        <f aca="false">Gov_Map!$H501&amp;""</f>
        <v>—</v>
      </c>
      <c r="B1257" s="71" t="s">
        <v>8333</v>
      </c>
      <c r="C1257" s="58" t="n">
        <v>501</v>
      </c>
      <c r="D1257" s="58" t="s">
        <v>8334</v>
      </c>
      <c r="E1257" s="58" t="s">
        <v>8334</v>
      </c>
      <c r="F1257" s="59" t="s">
        <v>608</v>
      </c>
    </row>
    <row r="1258" customFormat="false" ht="15" hidden="false" customHeight="false" outlineLevel="0" collapsed="false">
      <c r="A1258" s="90" t="str">
        <f aca="false">Gov_Map!$H502&amp;""</f>
        <v>SRC_HAR_002</v>
      </c>
      <c r="B1258" s="71" t="s">
        <v>8333</v>
      </c>
      <c r="C1258" s="58" t="n">
        <v>502</v>
      </c>
      <c r="D1258" s="58" t="s">
        <v>8334</v>
      </c>
      <c r="E1258" s="58" t="s">
        <v>8334</v>
      </c>
      <c r="F1258" s="59" t="s">
        <v>608</v>
      </c>
    </row>
    <row r="1259" customFormat="false" ht="15" hidden="false" customHeight="false" outlineLevel="0" collapsed="false">
      <c r="A1259" s="90" t="str">
        <f aca="false">Gov_Map!$H503&amp;""</f>
        <v>SRC_CAP_020</v>
      </c>
      <c r="B1259" s="71" t="s">
        <v>8333</v>
      </c>
      <c r="C1259" s="58" t="n">
        <v>503</v>
      </c>
      <c r="D1259" s="58" t="s">
        <v>8334</v>
      </c>
      <c r="E1259" s="58" t="s">
        <v>8334</v>
      </c>
      <c r="F1259" s="59" t="s">
        <v>608</v>
      </c>
    </row>
    <row r="1260" customFormat="false" ht="15" hidden="false" customHeight="false" outlineLevel="0" collapsed="false">
      <c r="A1260" s="90" t="str">
        <f aca="false">Gov_Map!$H504&amp;""</f>
        <v>SRC_CAP_020</v>
      </c>
      <c r="B1260" s="71" t="s">
        <v>8333</v>
      </c>
      <c r="C1260" s="58" t="n">
        <v>504</v>
      </c>
      <c r="D1260" s="58" t="s">
        <v>8334</v>
      </c>
      <c r="E1260" s="58" t="s">
        <v>8334</v>
      </c>
      <c r="F1260" s="59" t="s">
        <v>608</v>
      </c>
    </row>
    <row r="1261" customFormat="false" ht="15" hidden="false" customHeight="false" outlineLevel="0" collapsed="false">
      <c r="A1261" s="90" t="str">
        <f aca="false">Gov_Map!$H505&amp;""</f>
        <v>SRC_CAP_021</v>
      </c>
      <c r="B1261" s="71" t="s">
        <v>8333</v>
      </c>
      <c r="C1261" s="58" t="n">
        <v>505</v>
      </c>
      <c r="D1261" s="58" t="s">
        <v>8334</v>
      </c>
      <c r="E1261" s="58" t="s">
        <v>8334</v>
      </c>
      <c r="F1261" s="59" t="s">
        <v>608</v>
      </c>
    </row>
    <row r="1262" customFormat="false" ht="15" hidden="false" customHeight="false" outlineLevel="0" collapsed="false">
      <c r="A1262" s="90" t="str">
        <f aca="false">Gov_Map!$H506&amp;""</f>
        <v>SRC_CAP_012</v>
      </c>
      <c r="B1262" s="71" t="s">
        <v>8333</v>
      </c>
      <c r="C1262" s="58" t="n">
        <v>506</v>
      </c>
      <c r="D1262" s="58" t="s">
        <v>8334</v>
      </c>
      <c r="E1262" s="58" t="s">
        <v>8334</v>
      </c>
      <c r="F1262" s="59" t="s">
        <v>608</v>
      </c>
    </row>
    <row r="1263" customFormat="false" ht="15" hidden="false" customHeight="false" outlineLevel="0" collapsed="false">
      <c r="A1263" s="90" t="str">
        <f aca="false">Gov_Map!$H507&amp;""</f>
        <v>SRC_CAP_012</v>
      </c>
      <c r="B1263" s="71" t="s">
        <v>8333</v>
      </c>
      <c r="C1263" s="58" t="n">
        <v>507</v>
      </c>
      <c r="D1263" s="58" t="s">
        <v>8334</v>
      </c>
      <c r="E1263" s="58" t="s">
        <v>8334</v>
      </c>
      <c r="F1263" s="59" t="s">
        <v>608</v>
      </c>
    </row>
    <row r="1264" customFormat="false" ht="15" hidden="false" customHeight="false" outlineLevel="0" collapsed="false">
      <c r="A1264" s="90" t="str">
        <f aca="false">Gov_Map!$H508&amp;""</f>
        <v>—</v>
      </c>
      <c r="B1264" s="71" t="s">
        <v>8333</v>
      </c>
      <c r="C1264" s="58" t="n">
        <v>508</v>
      </c>
      <c r="D1264" s="58" t="s">
        <v>8334</v>
      </c>
      <c r="E1264" s="58" t="s">
        <v>8334</v>
      </c>
      <c r="F1264" s="59" t="s">
        <v>608</v>
      </c>
    </row>
    <row r="1265" customFormat="false" ht="15" hidden="false" customHeight="false" outlineLevel="0" collapsed="false">
      <c r="A1265" s="90" t="str">
        <f aca="false">Gov_Map!$H509&amp;""</f>
        <v>—</v>
      </c>
      <c r="B1265" s="71" t="s">
        <v>8333</v>
      </c>
      <c r="C1265" s="58" t="n">
        <v>509</v>
      </c>
      <c r="D1265" s="58" t="s">
        <v>8334</v>
      </c>
      <c r="E1265" s="58" t="s">
        <v>8334</v>
      </c>
      <c r="F1265" s="59" t="s">
        <v>608</v>
      </c>
    </row>
    <row r="1266" customFormat="false" ht="15" hidden="false" customHeight="false" outlineLevel="0" collapsed="false">
      <c r="A1266" s="90" t="str">
        <f aca="false">Gov_Map!$H510&amp;""</f>
        <v>—</v>
      </c>
      <c r="B1266" s="71" t="s">
        <v>8333</v>
      </c>
      <c r="C1266" s="58" t="n">
        <v>510</v>
      </c>
      <c r="D1266" s="58" t="s">
        <v>8334</v>
      </c>
      <c r="E1266" s="58" t="s">
        <v>8334</v>
      </c>
      <c r="F1266" s="59" t="s">
        <v>608</v>
      </c>
    </row>
    <row r="1267" customFormat="false" ht="15" hidden="false" customHeight="false" outlineLevel="0" collapsed="false">
      <c r="A1267" s="90" t="str">
        <f aca="false">Gov_Map!$H511&amp;""</f>
        <v>—</v>
      </c>
      <c r="B1267" s="71" t="s">
        <v>8333</v>
      </c>
      <c r="C1267" s="58" t="n">
        <v>511</v>
      </c>
      <c r="D1267" s="58" t="s">
        <v>8334</v>
      </c>
      <c r="E1267" s="58" t="s">
        <v>8334</v>
      </c>
      <c r="F1267" s="59" t="s">
        <v>608</v>
      </c>
    </row>
    <row r="1268" customFormat="false" ht="15" hidden="false" customHeight="false" outlineLevel="0" collapsed="false">
      <c r="A1268" s="90" t="str">
        <f aca="false">Gov_Map!$H512&amp;""</f>
        <v>SRC_HW_037</v>
      </c>
      <c r="B1268" s="71" t="s">
        <v>8333</v>
      </c>
      <c r="C1268" s="58" t="n">
        <v>512</v>
      </c>
      <c r="D1268" s="58" t="s">
        <v>8334</v>
      </c>
      <c r="E1268" s="58" t="s">
        <v>8334</v>
      </c>
      <c r="F1268" s="59" t="s">
        <v>608</v>
      </c>
    </row>
    <row r="1269" customFormat="false" ht="15" hidden="false" customHeight="false" outlineLevel="0" collapsed="false">
      <c r="A1269" s="90" t="str">
        <f aca="false">Gov_Map!$H513&amp;""</f>
        <v>—</v>
      </c>
      <c r="B1269" s="71" t="s">
        <v>8333</v>
      </c>
      <c r="C1269" s="58" t="n">
        <v>513</v>
      </c>
      <c r="D1269" s="58" t="s">
        <v>8334</v>
      </c>
      <c r="E1269" s="58" t="s">
        <v>8334</v>
      </c>
      <c r="F1269" s="59" t="s">
        <v>608</v>
      </c>
    </row>
    <row r="1270" customFormat="false" ht="15" hidden="false" customHeight="false" outlineLevel="0" collapsed="false">
      <c r="A1270" s="90" t="str">
        <f aca="false">Gov_Map!$H514&amp;""</f>
        <v>—</v>
      </c>
      <c r="B1270" s="71" t="s">
        <v>8333</v>
      </c>
      <c r="C1270" s="58" t="n">
        <v>514</v>
      </c>
      <c r="D1270" s="58" t="s">
        <v>8334</v>
      </c>
      <c r="E1270" s="58" t="s">
        <v>8334</v>
      </c>
      <c r="F1270" s="59" t="s">
        <v>608</v>
      </c>
    </row>
    <row r="1271" customFormat="false" ht="15" hidden="false" customHeight="false" outlineLevel="0" collapsed="false">
      <c r="A1271" s="90" t="str">
        <f aca="false">Gov_Map!$H515&amp;""</f>
        <v>SRC_MOD_046</v>
      </c>
      <c r="B1271" s="71" t="s">
        <v>8333</v>
      </c>
      <c r="C1271" s="58" t="n">
        <v>515</v>
      </c>
      <c r="D1271" s="58" t="s">
        <v>8334</v>
      </c>
      <c r="E1271" s="58" t="s">
        <v>8334</v>
      </c>
      <c r="F1271" s="59" t="s">
        <v>608</v>
      </c>
    </row>
    <row r="1272" customFormat="false" ht="15" hidden="false" customHeight="false" outlineLevel="0" collapsed="false">
      <c r="A1272" s="90" t="str">
        <f aca="false">Gov_Map!$H516&amp;""</f>
        <v>—</v>
      </c>
      <c r="B1272" s="71" t="s">
        <v>8333</v>
      </c>
      <c r="C1272" s="58" t="n">
        <v>516</v>
      </c>
      <c r="D1272" s="58" t="s">
        <v>8334</v>
      </c>
      <c r="E1272" s="58" t="s">
        <v>8334</v>
      </c>
      <c r="F1272" s="59" t="s">
        <v>608</v>
      </c>
    </row>
    <row r="1273" customFormat="false" ht="15" hidden="false" customHeight="false" outlineLevel="0" collapsed="false">
      <c r="A1273" s="90" t="str">
        <f aca="false">Gov_Map!$H517&amp;""</f>
        <v>—</v>
      </c>
      <c r="B1273" s="71" t="s">
        <v>8333</v>
      </c>
      <c r="C1273" s="58" t="n">
        <v>517</v>
      </c>
      <c r="D1273" s="58" t="s">
        <v>8334</v>
      </c>
      <c r="E1273" s="58" t="s">
        <v>8334</v>
      </c>
      <c r="F1273" s="59" t="s">
        <v>608</v>
      </c>
    </row>
    <row r="1274" customFormat="false" ht="15" hidden="false" customHeight="false" outlineLevel="0" collapsed="false">
      <c r="A1274" s="90" t="str">
        <f aca="false">Gov_Map!$H518&amp;""</f>
        <v>—</v>
      </c>
      <c r="B1274" s="71" t="s">
        <v>8333</v>
      </c>
      <c r="C1274" s="58" t="n">
        <v>518</v>
      </c>
      <c r="D1274" s="58" t="s">
        <v>8334</v>
      </c>
      <c r="E1274" s="58" t="s">
        <v>8334</v>
      </c>
      <c r="F1274" s="59" t="s">
        <v>608</v>
      </c>
    </row>
    <row r="1275" customFormat="false" ht="15" hidden="false" customHeight="false" outlineLevel="0" collapsed="false">
      <c r="A1275" s="90" t="str">
        <f aca="false">Gov_Map!$H519&amp;""</f>
        <v>—</v>
      </c>
      <c r="B1275" s="71" t="s">
        <v>8333</v>
      </c>
      <c r="C1275" s="58" t="n">
        <v>519</v>
      </c>
      <c r="D1275" s="58" t="s">
        <v>8334</v>
      </c>
      <c r="E1275" s="58" t="s">
        <v>8334</v>
      </c>
      <c r="F1275" s="59" t="s">
        <v>608</v>
      </c>
    </row>
    <row r="1276" customFormat="false" ht="15" hidden="false" customHeight="false" outlineLevel="0" collapsed="false">
      <c r="A1276" s="90" t="str">
        <f aca="false">Gov_Map!$H520&amp;""</f>
        <v>—</v>
      </c>
      <c r="B1276" s="71" t="s">
        <v>8333</v>
      </c>
      <c r="C1276" s="58" t="n">
        <v>520</v>
      </c>
      <c r="D1276" s="58" t="s">
        <v>8334</v>
      </c>
      <c r="E1276" s="58" t="s">
        <v>8334</v>
      </c>
      <c r="F1276" s="59" t="s">
        <v>608</v>
      </c>
    </row>
    <row r="1277" customFormat="false" ht="15" hidden="false" customHeight="false" outlineLevel="0" collapsed="false">
      <c r="A1277" s="90" t="str">
        <f aca="false">Gov_Map!$H521&amp;""</f>
        <v>—</v>
      </c>
      <c r="B1277" s="71" t="s">
        <v>8333</v>
      </c>
      <c r="C1277" s="58" t="n">
        <v>521</v>
      </c>
      <c r="D1277" s="58" t="s">
        <v>8334</v>
      </c>
      <c r="E1277" s="58" t="s">
        <v>8334</v>
      </c>
      <c r="F1277" s="59" t="s">
        <v>608</v>
      </c>
    </row>
    <row r="1278" customFormat="false" ht="15" hidden="false" customHeight="false" outlineLevel="0" collapsed="false">
      <c r="A1278" s="90" t="str">
        <f aca="false">Gov_Map!$H522&amp;""</f>
        <v>—</v>
      </c>
      <c r="B1278" s="71" t="s">
        <v>8333</v>
      </c>
      <c r="C1278" s="58" t="n">
        <v>522</v>
      </c>
      <c r="D1278" s="58" t="s">
        <v>8334</v>
      </c>
      <c r="E1278" s="58" t="s">
        <v>8334</v>
      </c>
      <c r="F1278" s="59" t="s">
        <v>608</v>
      </c>
    </row>
    <row r="1279" customFormat="false" ht="15" hidden="false" customHeight="false" outlineLevel="0" collapsed="false">
      <c r="A1279" s="90" t="str">
        <f aca="false">Gov_Map!$H523&amp;""</f>
        <v>SRC_PERF_036</v>
      </c>
      <c r="B1279" s="71" t="s">
        <v>8333</v>
      </c>
      <c r="C1279" s="58" t="n">
        <v>523</v>
      </c>
      <c r="D1279" s="58" t="s">
        <v>8334</v>
      </c>
      <c r="E1279" s="58" t="s">
        <v>8334</v>
      </c>
      <c r="F1279" s="59" t="s">
        <v>608</v>
      </c>
    </row>
    <row r="1280" customFormat="false" ht="15" hidden="false" customHeight="false" outlineLevel="0" collapsed="false">
      <c r="A1280" s="90" t="str">
        <f aca="false">Gov_Map!$H524&amp;""</f>
        <v>SRC_PERF_037</v>
      </c>
      <c r="B1280" s="71" t="s">
        <v>8333</v>
      </c>
      <c r="C1280" s="58" t="n">
        <v>524</v>
      </c>
      <c r="D1280" s="58" t="s">
        <v>8334</v>
      </c>
      <c r="E1280" s="58" t="s">
        <v>8334</v>
      </c>
      <c r="F1280" s="59" t="s">
        <v>608</v>
      </c>
    </row>
    <row r="1281" customFormat="false" ht="15" hidden="false" customHeight="false" outlineLevel="0" collapsed="false">
      <c r="A1281" s="90" t="str">
        <f aca="false">Gov_Map!$H525&amp;""</f>
        <v>—</v>
      </c>
      <c r="B1281" s="71" t="s">
        <v>8333</v>
      </c>
      <c r="C1281" s="58" t="n">
        <v>525</v>
      </c>
      <c r="D1281" s="58" t="s">
        <v>8334</v>
      </c>
      <c r="E1281" s="58" t="s">
        <v>8334</v>
      </c>
      <c r="F1281" s="59" t="s">
        <v>608</v>
      </c>
    </row>
    <row r="1282" customFormat="false" ht="15" hidden="false" customHeight="false" outlineLevel="0" collapsed="false">
      <c r="A1282" s="90" t="str">
        <f aca="false">Gov_Map!$H526&amp;""</f>
        <v>—</v>
      </c>
      <c r="B1282" s="71" t="s">
        <v>8333</v>
      </c>
      <c r="C1282" s="58" t="n">
        <v>526</v>
      </c>
      <c r="D1282" s="58" t="s">
        <v>8334</v>
      </c>
      <c r="E1282" s="58" t="s">
        <v>8334</v>
      </c>
      <c r="F1282" s="59" t="s">
        <v>608</v>
      </c>
    </row>
    <row r="1283" customFormat="false" ht="15" hidden="false" customHeight="false" outlineLevel="0" collapsed="false">
      <c r="A1283" s="90" t="str">
        <f aca="false">Gov_Map!$H527&amp;""</f>
        <v>—</v>
      </c>
      <c r="B1283" s="71" t="s">
        <v>8333</v>
      </c>
      <c r="C1283" s="58" t="n">
        <v>527</v>
      </c>
      <c r="D1283" s="58" t="s">
        <v>8334</v>
      </c>
      <c r="E1283" s="58" t="s">
        <v>8334</v>
      </c>
      <c r="F1283" s="59" t="s">
        <v>608</v>
      </c>
    </row>
    <row r="1284" customFormat="false" ht="15" hidden="false" customHeight="false" outlineLevel="0" collapsed="false">
      <c r="A1284" s="90" t="str">
        <f aca="false">Gov_Map!$H528&amp;""</f>
        <v>SRC_MOD_046</v>
      </c>
      <c r="B1284" s="71" t="s">
        <v>8333</v>
      </c>
      <c r="C1284" s="58" t="n">
        <v>528</v>
      </c>
      <c r="D1284" s="58" t="s">
        <v>8334</v>
      </c>
      <c r="E1284" s="58" t="s">
        <v>8334</v>
      </c>
      <c r="F1284" s="59" t="s">
        <v>608</v>
      </c>
    </row>
    <row r="1285" customFormat="false" ht="15" hidden="false" customHeight="false" outlineLevel="0" collapsed="false">
      <c r="A1285" s="90" t="str">
        <f aca="false">Gov_Map!$H529&amp;""</f>
        <v>—</v>
      </c>
      <c r="B1285" s="71" t="s">
        <v>8333</v>
      </c>
      <c r="C1285" s="58" t="n">
        <v>529</v>
      </c>
      <c r="D1285" s="58" t="s">
        <v>8334</v>
      </c>
      <c r="E1285" s="58" t="s">
        <v>8334</v>
      </c>
      <c r="F1285" s="59" t="s">
        <v>608</v>
      </c>
    </row>
    <row r="1286" customFormat="false" ht="15" hidden="false" customHeight="false" outlineLevel="0" collapsed="false">
      <c r="A1286" s="90" t="str">
        <f aca="false">Gov_Map!$H530&amp;""</f>
        <v>SRC_DEM_001</v>
      </c>
      <c r="B1286" s="71" t="s">
        <v>8333</v>
      </c>
      <c r="C1286" s="58" t="n">
        <v>530</v>
      </c>
      <c r="D1286" s="58" t="s">
        <v>8334</v>
      </c>
      <c r="E1286" s="58" t="s">
        <v>8334</v>
      </c>
      <c r="F1286" s="59" t="s">
        <v>608</v>
      </c>
    </row>
    <row r="1287" customFormat="false" ht="15" hidden="false" customHeight="false" outlineLevel="0" collapsed="false">
      <c r="A1287" s="90" t="str">
        <f aca="false">Gov_Map!$H531&amp;""</f>
        <v>—</v>
      </c>
      <c r="B1287" s="71" t="s">
        <v>8333</v>
      </c>
      <c r="C1287" s="58" t="n">
        <v>531</v>
      </c>
      <c r="D1287" s="58" t="s">
        <v>8334</v>
      </c>
      <c r="E1287" s="58" t="s">
        <v>8334</v>
      </c>
      <c r="F1287" s="59" t="s">
        <v>608</v>
      </c>
    </row>
    <row r="1288" customFormat="false" ht="15" hidden="false" customHeight="false" outlineLevel="0" collapsed="false">
      <c r="A1288" s="90" t="str">
        <f aca="false">Gov_Map!$H532&amp;""</f>
        <v>—</v>
      </c>
      <c r="B1288" s="71" t="s">
        <v>8333</v>
      </c>
      <c r="C1288" s="58" t="n">
        <v>532</v>
      </c>
      <c r="D1288" s="58" t="s">
        <v>8334</v>
      </c>
      <c r="E1288" s="58" t="s">
        <v>8334</v>
      </c>
      <c r="F1288" s="59" t="s">
        <v>608</v>
      </c>
    </row>
    <row r="1289" customFormat="false" ht="15" hidden="false" customHeight="false" outlineLevel="0" collapsed="false">
      <c r="A1289" s="90" t="str">
        <f aca="false">Gov_Map!$H533&amp;""</f>
        <v>—</v>
      </c>
      <c r="B1289" s="71" t="s">
        <v>8333</v>
      </c>
      <c r="C1289" s="58" t="n">
        <v>533</v>
      </c>
      <c r="D1289" s="58" t="s">
        <v>8334</v>
      </c>
      <c r="E1289" s="58" t="s">
        <v>8334</v>
      </c>
      <c r="F1289" s="59" t="s">
        <v>608</v>
      </c>
    </row>
    <row r="1290" customFormat="false" ht="15" hidden="false" customHeight="false" outlineLevel="0" collapsed="false">
      <c r="A1290" s="90" t="str">
        <f aca="false">Gov_Map!$H534&amp;""</f>
        <v>—</v>
      </c>
      <c r="B1290" s="71" t="s">
        <v>8333</v>
      </c>
      <c r="C1290" s="58" t="n">
        <v>534</v>
      </c>
      <c r="D1290" s="58" t="s">
        <v>8334</v>
      </c>
      <c r="E1290" s="58" t="s">
        <v>8334</v>
      </c>
      <c r="F1290" s="59" t="s">
        <v>608</v>
      </c>
    </row>
    <row r="1291" customFormat="false" ht="15" hidden="false" customHeight="false" outlineLevel="0" collapsed="false">
      <c r="A1291" s="90" t="str">
        <f aca="false">Gov_Map!$H535&amp;""</f>
        <v>—</v>
      </c>
      <c r="B1291" s="71" t="s">
        <v>8333</v>
      </c>
      <c r="C1291" s="58" t="n">
        <v>535</v>
      </c>
      <c r="D1291" s="58" t="s">
        <v>8334</v>
      </c>
      <c r="E1291" s="58" t="s">
        <v>8334</v>
      </c>
      <c r="F1291" s="59" t="s">
        <v>608</v>
      </c>
    </row>
    <row r="1292" customFormat="false" ht="15" hidden="false" customHeight="false" outlineLevel="0" collapsed="false">
      <c r="A1292" s="90" t="str">
        <f aca="false">Gov_Map!$H536&amp;""</f>
        <v>SRC_MOD_031</v>
      </c>
      <c r="B1292" s="71" t="s">
        <v>8333</v>
      </c>
      <c r="C1292" s="58" t="n">
        <v>536</v>
      </c>
      <c r="D1292" s="58" t="s">
        <v>8334</v>
      </c>
      <c r="E1292" s="58" t="s">
        <v>8334</v>
      </c>
      <c r="F1292" s="59" t="s">
        <v>608</v>
      </c>
    </row>
    <row r="1293" customFormat="false" ht="15" hidden="false" customHeight="false" outlineLevel="0" collapsed="false">
      <c r="A1293" s="90" t="str">
        <f aca="false">Gov_Map!$H537&amp;""</f>
        <v>—</v>
      </c>
      <c r="B1293" s="71" t="s">
        <v>8333</v>
      </c>
      <c r="C1293" s="58" t="n">
        <v>537</v>
      </c>
      <c r="D1293" s="58" t="s">
        <v>8334</v>
      </c>
      <c r="E1293" s="58" t="s">
        <v>8334</v>
      </c>
      <c r="F1293" s="59" t="s">
        <v>608</v>
      </c>
    </row>
    <row r="1294" customFormat="false" ht="15" hidden="false" customHeight="false" outlineLevel="0" collapsed="false">
      <c r="A1294" s="90" t="str">
        <f aca="false">Gov_Map!$H538&amp;""</f>
        <v>—</v>
      </c>
      <c r="B1294" s="71" t="s">
        <v>8333</v>
      </c>
      <c r="C1294" s="58" t="n">
        <v>538</v>
      </c>
      <c r="D1294" s="58" t="s">
        <v>8334</v>
      </c>
      <c r="E1294" s="58" t="s">
        <v>8334</v>
      </c>
      <c r="F1294" s="59" t="s">
        <v>608</v>
      </c>
    </row>
    <row r="1295" customFormat="false" ht="15" hidden="false" customHeight="false" outlineLevel="0" collapsed="false">
      <c r="A1295" s="90" t="str">
        <f aca="false">Gov_Map!$H539&amp;""</f>
        <v>—</v>
      </c>
      <c r="B1295" s="71" t="s">
        <v>8333</v>
      </c>
      <c r="C1295" s="58" t="n">
        <v>539</v>
      </c>
      <c r="D1295" s="58" t="s">
        <v>8334</v>
      </c>
      <c r="E1295" s="58" t="s">
        <v>8334</v>
      </c>
      <c r="F1295" s="59" t="s">
        <v>608</v>
      </c>
    </row>
    <row r="1296" customFormat="false" ht="15" hidden="false" customHeight="false" outlineLevel="0" collapsed="false">
      <c r="A1296" s="90" t="str">
        <f aca="false">Gov_Map!$H540&amp;""</f>
        <v>—</v>
      </c>
      <c r="B1296" s="71" t="s">
        <v>8333</v>
      </c>
      <c r="C1296" s="58" t="n">
        <v>540</v>
      </c>
      <c r="D1296" s="58" t="s">
        <v>8334</v>
      </c>
      <c r="E1296" s="58" t="s">
        <v>8334</v>
      </c>
      <c r="F1296" s="59" t="s">
        <v>608</v>
      </c>
    </row>
    <row r="1297" customFormat="false" ht="15" hidden="false" customHeight="false" outlineLevel="0" collapsed="false">
      <c r="A1297" s="90" t="str">
        <f aca="false">Gov_Map!$H541&amp;""</f>
        <v>—</v>
      </c>
      <c r="B1297" s="71" t="s">
        <v>8333</v>
      </c>
      <c r="C1297" s="58" t="n">
        <v>541</v>
      </c>
      <c r="D1297" s="58" t="s">
        <v>8334</v>
      </c>
      <c r="E1297" s="58" t="s">
        <v>8334</v>
      </c>
      <c r="F1297" s="59" t="s">
        <v>608</v>
      </c>
    </row>
    <row r="1298" customFormat="false" ht="15" hidden="false" customHeight="false" outlineLevel="0" collapsed="false">
      <c r="A1298" s="90" t="str">
        <f aca="false">Gov_Map!$H542&amp;""</f>
        <v>—</v>
      </c>
      <c r="B1298" s="71" t="s">
        <v>8333</v>
      </c>
      <c r="C1298" s="58" t="n">
        <v>542</v>
      </c>
      <c r="D1298" s="58" t="s">
        <v>8334</v>
      </c>
      <c r="E1298" s="58" t="s">
        <v>8334</v>
      </c>
      <c r="F1298" s="59" t="s">
        <v>608</v>
      </c>
    </row>
    <row r="1299" customFormat="false" ht="15" hidden="false" customHeight="false" outlineLevel="0" collapsed="false">
      <c r="A1299" s="90" t="str">
        <f aca="false">Gov_Map!$H543&amp;""</f>
        <v>—</v>
      </c>
      <c r="B1299" s="71" t="s">
        <v>8333</v>
      </c>
      <c r="C1299" s="58" t="n">
        <v>543</v>
      </c>
      <c r="D1299" s="58" t="s">
        <v>8334</v>
      </c>
      <c r="E1299" s="58" t="s">
        <v>8334</v>
      </c>
      <c r="F1299" s="59" t="s">
        <v>608</v>
      </c>
    </row>
    <row r="1300" customFormat="false" ht="15" hidden="false" customHeight="false" outlineLevel="0" collapsed="false">
      <c r="A1300" s="90" t="str">
        <f aca="false">Gov_Map!$H544&amp;""</f>
        <v>—</v>
      </c>
      <c r="B1300" s="71" t="s">
        <v>8333</v>
      </c>
      <c r="C1300" s="58" t="n">
        <v>544</v>
      </c>
      <c r="D1300" s="58" t="s">
        <v>8334</v>
      </c>
      <c r="E1300" s="58" t="s">
        <v>8334</v>
      </c>
      <c r="F1300" s="59" t="s">
        <v>608</v>
      </c>
    </row>
    <row r="1301" customFormat="false" ht="15" hidden="false" customHeight="false" outlineLevel="0" collapsed="false">
      <c r="A1301" s="90" t="str">
        <f aca="false">Gov_Map!$H545&amp;""</f>
        <v>—</v>
      </c>
      <c r="B1301" s="71" t="s">
        <v>8333</v>
      </c>
      <c r="C1301" s="58" t="n">
        <v>545</v>
      </c>
      <c r="D1301" s="58" t="s">
        <v>8334</v>
      </c>
      <c r="E1301" s="58" t="s">
        <v>8334</v>
      </c>
      <c r="F1301" s="59" t="s">
        <v>608</v>
      </c>
    </row>
    <row r="1302" customFormat="false" ht="15" hidden="false" customHeight="false" outlineLevel="0" collapsed="false">
      <c r="A1302" s="90" t="str">
        <f aca="false">Gov_Map!$H546&amp;""</f>
        <v>—</v>
      </c>
      <c r="B1302" s="71" t="s">
        <v>8333</v>
      </c>
      <c r="C1302" s="58" t="n">
        <v>546</v>
      </c>
      <c r="D1302" s="58" t="s">
        <v>8334</v>
      </c>
      <c r="E1302" s="58" t="s">
        <v>8334</v>
      </c>
      <c r="F1302" s="59" t="s">
        <v>608</v>
      </c>
    </row>
    <row r="1303" customFormat="false" ht="15" hidden="false" customHeight="false" outlineLevel="0" collapsed="false">
      <c r="A1303" s="90" t="str">
        <f aca="false">Gov_Map!$H547&amp;""</f>
        <v>—</v>
      </c>
      <c r="B1303" s="71" t="s">
        <v>8333</v>
      </c>
      <c r="C1303" s="58" t="n">
        <v>547</v>
      </c>
      <c r="D1303" s="58" t="s">
        <v>8334</v>
      </c>
      <c r="E1303" s="58" t="s">
        <v>8334</v>
      </c>
      <c r="F1303" s="59" t="s">
        <v>608</v>
      </c>
    </row>
    <row r="1304" customFormat="false" ht="15" hidden="false" customHeight="false" outlineLevel="0" collapsed="false">
      <c r="A1304" s="90" t="str">
        <f aca="false">Gov_Map!$H548&amp;""</f>
        <v>—</v>
      </c>
      <c r="B1304" s="71" t="s">
        <v>8333</v>
      </c>
      <c r="C1304" s="58" t="n">
        <v>548</v>
      </c>
      <c r="D1304" s="58" t="s">
        <v>8334</v>
      </c>
      <c r="E1304" s="58" t="s">
        <v>8334</v>
      </c>
      <c r="F1304" s="59" t="s">
        <v>608</v>
      </c>
    </row>
    <row r="1305" customFormat="false" ht="15" hidden="false" customHeight="false" outlineLevel="0" collapsed="false">
      <c r="A1305" s="90" t="str">
        <f aca="false">Gov_Map!$H549&amp;""</f>
        <v>SRC_MOD_034</v>
      </c>
      <c r="B1305" s="71" t="s">
        <v>8333</v>
      </c>
      <c r="C1305" s="58" t="n">
        <v>549</v>
      </c>
      <c r="D1305" s="58" t="s">
        <v>8334</v>
      </c>
      <c r="E1305" s="58" t="s">
        <v>8334</v>
      </c>
      <c r="F1305" s="59" t="s">
        <v>608</v>
      </c>
    </row>
    <row r="1306" customFormat="false" ht="15" hidden="false" customHeight="false" outlineLevel="0" collapsed="false">
      <c r="A1306" s="90" t="str">
        <f aca="false">Gov_Map!$H550&amp;""</f>
        <v>SRC_MOD_033</v>
      </c>
      <c r="B1306" s="71" t="s">
        <v>8333</v>
      </c>
      <c r="C1306" s="58" t="n">
        <v>550</v>
      </c>
      <c r="D1306" s="58" t="s">
        <v>8334</v>
      </c>
      <c r="E1306" s="58" t="s">
        <v>8334</v>
      </c>
      <c r="F1306" s="59" t="s">
        <v>608</v>
      </c>
    </row>
    <row r="1307" customFormat="false" ht="15" hidden="false" customHeight="false" outlineLevel="0" collapsed="false">
      <c r="A1307" s="90" t="str">
        <f aca="false">Gov_Map!$H551&amp;""</f>
        <v>SRC_MOD_033</v>
      </c>
      <c r="B1307" s="71" t="s">
        <v>8333</v>
      </c>
      <c r="C1307" s="58" t="n">
        <v>551</v>
      </c>
      <c r="D1307" s="58" t="s">
        <v>8334</v>
      </c>
      <c r="E1307" s="58" t="s">
        <v>8334</v>
      </c>
      <c r="F1307" s="59" t="s">
        <v>608</v>
      </c>
    </row>
    <row r="1308" customFormat="false" ht="15" hidden="false" customHeight="false" outlineLevel="0" collapsed="false">
      <c r="A1308" s="90" t="str">
        <f aca="false">Gov_Map!$H552&amp;""</f>
        <v>SRC_MOD_033</v>
      </c>
      <c r="B1308" s="71" t="s">
        <v>8333</v>
      </c>
      <c r="C1308" s="58" t="n">
        <v>552</v>
      </c>
      <c r="D1308" s="58" t="s">
        <v>8334</v>
      </c>
      <c r="E1308" s="58" t="s">
        <v>8334</v>
      </c>
      <c r="F1308" s="59" t="s">
        <v>608</v>
      </c>
    </row>
    <row r="1309" customFormat="false" ht="15" hidden="false" customHeight="false" outlineLevel="0" collapsed="false">
      <c r="A1309" s="90" t="str">
        <f aca="false">Gov_Map!$H553&amp;""</f>
        <v>—</v>
      </c>
      <c r="B1309" s="71" t="s">
        <v>8333</v>
      </c>
      <c r="C1309" s="58" t="n">
        <v>553</v>
      </c>
      <c r="D1309" s="58" t="s">
        <v>8334</v>
      </c>
      <c r="E1309" s="58" t="s">
        <v>8334</v>
      </c>
      <c r="F1309" s="59" t="s">
        <v>608</v>
      </c>
    </row>
    <row r="1310" customFormat="false" ht="15" hidden="false" customHeight="false" outlineLevel="0" collapsed="false">
      <c r="A1310" s="90" t="str">
        <f aca="false">Gov_Map!$H554&amp;""</f>
        <v>—</v>
      </c>
      <c r="B1310" s="71" t="s">
        <v>8333</v>
      </c>
      <c r="C1310" s="58" t="n">
        <v>554</v>
      </c>
      <c r="D1310" s="58" t="s">
        <v>8334</v>
      </c>
      <c r="E1310" s="58" t="s">
        <v>8334</v>
      </c>
      <c r="F1310" s="59" t="s">
        <v>608</v>
      </c>
    </row>
    <row r="1311" customFormat="false" ht="15" hidden="false" customHeight="false" outlineLevel="0" collapsed="false">
      <c r="A1311" s="90" t="str">
        <f aca="false">Gov_Map!$H555&amp;""</f>
        <v>—</v>
      </c>
      <c r="B1311" s="71" t="s">
        <v>8333</v>
      </c>
      <c r="C1311" s="58" t="n">
        <v>555</v>
      </c>
      <c r="D1311" s="58" t="s">
        <v>8334</v>
      </c>
      <c r="E1311" s="58" t="s">
        <v>8334</v>
      </c>
      <c r="F1311" s="59" t="s">
        <v>608</v>
      </c>
    </row>
    <row r="1312" customFormat="false" ht="15" hidden="false" customHeight="false" outlineLevel="0" collapsed="false">
      <c r="A1312" s="90" t="str">
        <f aca="false">Gov_Map!$H556&amp;""</f>
        <v>—</v>
      </c>
      <c r="B1312" s="71" t="s">
        <v>8333</v>
      </c>
      <c r="C1312" s="58" t="n">
        <v>556</v>
      </c>
      <c r="D1312" s="58" t="s">
        <v>8334</v>
      </c>
      <c r="E1312" s="58" t="s">
        <v>8334</v>
      </c>
      <c r="F1312" s="59" t="s">
        <v>608</v>
      </c>
    </row>
    <row r="1313" customFormat="false" ht="15" hidden="false" customHeight="false" outlineLevel="0" collapsed="false">
      <c r="A1313" s="90" t="str">
        <f aca="false">Gov_Map!$H557&amp;""</f>
        <v>—</v>
      </c>
      <c r="B1313" s="71" t="s">
        <v>8333</v>
      </c>
      <c r="C1313" s="58" t="n">
        <v>557</v>
      </c>
      <c r="D1313" s="58" t="s">
        <v>8334</v>
      </c>
      <c r="E1313" s="58" t="s">
        <v>8334</v>
      </c>
      <c r="F1313" s="59" t="s">
        <v>608</v>
      </c>
    </row>
    <row r="1314" customFormat="false" ht="15" hidden="false" customHeight="false" outlineLevel="0" collapsed="false">
      <c r="A1314" s="90" t="str">
        <f aca="false">Gov_Map!$H558&amp;""</f>
        <v>—</v>
      </c>
      <c r="B1314" s="71" t="s">
        <v>8333</v>
      </c>
      <c r="C1314" s="58" t="n">
        <v>558</v>
      </c>
      <c r="D1314" s="58" t="s">
        <v>8334</v>
      </c>
      <c r="E1314" s="58" t="s">
        <v>8334</v>
      </c>
      <c r="F1314" s="59" t="s">
        <v>608</v>
      </c>
    </row>
    <row r="1315" customFormat="false" ht="15" hidden="false" customHeight="false" outlineLevel="0" collapsed="false">
      <c r="A1315" s="90" t="str">
        <f aca="false">Gov_Map!$H559&amp;""</f>
        <v>—</v>
      </c>
      <c r="B1315" s="71" t="s">
        <v>8333</v>
      </c>
      <c r="C1315" s="58" t="n">
        <v>559</v>
      </c>
      <c r="D1315" s="58" t="s">
        <v>8334</v>
      </c>
      <c r="E1315" s="58" t="s">
        <v>8334</v>
      </c>
      <c r="F1315" s="59" t="s">
        <v>608</v>
      </c>
    </row>
    <row r="1316" customFormat="false" ht="15" hidden="false" customHeight="false" outlineLevel="0" collapsed="false">
      <c r="A1316" s="90" t="str">
        <f aca="false">Gov_Map!$H560&amp;""</f>
        <v>—</v>
      </c>
      <c r="B1316" s="71" t="s">
        <v>8333</v>
      </c>
      <c r="C1316" s="58" t="n">
        <v>560</v>
      </c>
      <c r="D1316" s="58" t="s">
        <v>8334</v>
      </c>
      <c r="E1316" s="58" t="s">
        <v>8334</v>
      </c>
      <c r="F1316" s="59" t="s">
        <v>608</v>
      </c>
    </row>
    <row r="1317" customFormat="false" ht="15" hidden="false" customHeight="false" outlineLevel="0" collapsed="false">
      <c r="A1317" s="90" t="str">
        <f aca="false">Gov_Map!$H561&amp;""</f>
        <v>—</v>
      </c>
      <c r="B1317" s="71" t="s">
        <v>8333</v>
      </c>
      <c r="C1317" s="58" t="n">
        <v>561</v>
      </c>
      <c r="D1317" s="58" t="s">
        <v>8334</v>
      </c>
      <c r="E1317" s="58" t="s">
        <v>8334</v>
      </c>
      <c r="F1317" s="59" t="s">
        <v>608</v>
      </c>
    </row>
    <row r="1318" customFormat="false" ht="15" hidden="false" customHeight="false" outlineLevel="0" collapsed="false">
      <c r="A1318" s="90" t="str">
        <f aca="false">Gov_Map!$H562&amp;""</f>
        <v>—</v>
      </c>
      <c r="B1318" s="71" t="s">
        <v>8333</v>
      </c>
      <c r="C1318" s="58" t="n">
        <v>562</v>
      </c>
      <c r="D1318" s="58" t="s">
        <v>8334</v>
      </c>
      <c r="E1318" s="58" t="s">
        <v>8334</v>
      </c>
      <c r="F1318" s="59" t="s">
        <v>608</v>
      </c>
    </row>
    <row r="1319" customFormat="false" ht="15" hidden="false" customHeight="false" outlineLevel="0" collapsed="false">
      <c r="A1319" s="90" t="str">
        <f aca="false">Gov_Map!$H563&amp;""</f>
        <v>—</v>
      </c>
      <c r="B1319" s="71" t="s">
        <v>8333</v>
      </c>
      <c r="C1319" s="58" t="n">
        <v>563</v>
      </c>
      <c r="D1319" s="58" t="s">
        <v>8334</v>
      </c>
      <c r="E1319" s="58" t="s">
        <v>8334</v>
      </c>
      <c r="F1319" s="59" t="s">
        <v>608</v>
      </c>
    </row>
    <row r="1320" customFormat="false" ht="15" hidden="false" customHeight="false" outlineLevel="0" collapsed="false">
      <c r="A1320" s="90" t="str">
        <f aca="false">Gov_Map!$H564&amp;""</f>
        <v>—</v>
      </c>
      <c r="B1320" s="71" t="s">
        <v>8333</v>
      </c>
      <c r="C1320" s="58" t="n">
        <v>564</v>
      </c>
      <c r="D1320" s="58" t="s">
        <v>8334</v>
      </c>
      <c r="E1320" s="58" t="s">
        <v>8334</v>
      </c>
      <c r="F1320" s="59" t="s">
        <v>608</v>
      </c>
    </row>
    <row r="1321" customFormat="false" ht="15" hidden="false" customHeight="false" outlineLevel="0" collapsed="false">
      <c r="A1321" s="90" t="str">
        <f aca="false">Gov_Map!$H565&amp;""</f>
        <v>—</v>
      </c>
      <c r="B1321" s="71" t="s">
        <v>8333</v>
      </c>
      <c r="C1321" s="58" t="n">
        <v>565</v>
      </c>
      <c r="D1321" s="58" t="s">
        <v>8334</v>
      </c>
      <c r="E1321" s="58" t="s">
        <v>8334</v>
      </c>
      <c r="F1321" s="59" t="s">
        <v>608</v>
      </c>
    </row>
    <row r="1322" customFormat="false" ht="15" hidden="false" customHeight="false" outlineLevel="0" collapsed="false">
      <c r="A1322" s="90" t="str">
        <f aca="false">Gov_Map!$H566&amp;""</f>
        <v>—</v>
      </c>
      <c r="B1322" s="71" t="s">
        <v>8333</v>
      </c>
      <c r="C1322" s="58" t="n">
        <v>566</v>
      </c>
      <c r="D1322" s="58" t="s">
        <v>8334</v>
      </c>
      <c r="E1322" s="58" t="s">
        <v>8334</v>
      </c>
      <c r="F1322" s="59" t="s">
        <v>608</v>
      </c>
    </row>
    <row r="1323" customFormat="false" ht="15" hidden="false" customHeight="false" outlineLevel="0" collapsed="false">
      <c r="A1323" s="90" t="str">
        <f aca="false">Gov_Map!$H567&amp;""</f>
        <v>—</v>
      </c>
      <c r="B1323" s="71" t="s">
        <v>8333</v>
      </c>
      <c r="C1323" s="58" t="n">
        <v>567</v>
      </c>
      <c r="D1323" s="58" t="s">
        <v>8334</v>
      </c>
      <c r="E1323" s="58" t="s">
        <v>8334</v>
      </c>
      <c r="F1323" s="59" t="s">
        <v>608</v>
      </c>
    </row>
    <row r="1324" customFormat="false" ht="15" hidden="false" customHeight="false" outlineLevel="0" collapsed="false">
      <c r="A1324" s="90" t="str">
        <f aca="false">Gov_Map!$H568&amp;""</f>
        <v>—</v>
      </c>
      <c r="B1324" s="71" t="s">
        <v>8333</v>
      </c>
      <c r="C1324" s="58" t="n">
        <v>568</v>
      </c>
      <c r="D1324" s="58" t="s">
        <v>8334</v>
      </c>
      <c r="E1324" s="58" t="s">
        <v>8334</v>
      </c>
      <c r="F1324" s="59" t="s">
        <v>608</v>
      </c>
    </row>
    <row r="1325" customFormat="false" ht="15" hidden="false" customHeight="false" outlineLevel="0" collapsed="false">
      <c r="A1325" s="90" t="str">
        <f aca="false">Gov_Map!$H569&amp;""</f>
        <v>—</v>
      </c>
      <c r="B1325" s="71" t="s">
        <v>8333</v>
      </c>
      <c r="C1325" s="58" t="n">
        <v>569</v>
      </c>
      <c r="D1325" s="58" t="s">
        <v>8334</v>
      </c>
      <c r="E1325" s="58" t="s">
        <v>8334</v>
      </c>
      <c r="F1325" s="59" t="s">
        <v>608</v>
      </c>
    </row>
    <row r="1326" customFormat="false" ht="15" hidden="false" customHeight="false" outlineLevel="0" collapsed="false">
      <c r="A1326" s="90" t="str">
        <f aca="false">Gov_Map!$H570&amp;""</f>
        <v>—</v>
      </c>
      <c r="B1326" s="71" t="s">
        <v>8333</v>
      </c>
      <c r="C1326" s="58" t="n">
        <v>570</v>
      </c>
      <c r="D1326" s="58" t="s">
        <v>8334</v>
      </c>
      <c r="E1326" s="58" t="s">
        <v>8334</v>
      </c>
      <c r="F1326" s="59" t="s">
        <v>608</v>
      </c>
    </row>
    <row r="1327" customFormat="false" ht="15" hidden="false" customHeight="false" outlineLevel="0" collapsed="false">
      <c r="A1327" s="90" t="str">
        <f aca="false">Gov_Map!$H571&amp;""</f>
        <v>—</v>
      </c>
      <c r="B1327" s="71" t="s">
        <v>8333</v>
      </c>
      <c r="C1327" s="58" t="n">
        <v>571</v>
      </c>
      <c r="D1327" s="58" t="s">
        <v>8334</v>
      </c>
      <c r="E1327" s="58" t="s">
        <v>8334</v>
      </c>
      <c r="F1327" s="59" t="s">
        <v>608</v>
      </c>
    </row>
    <row r="1328" customFormat="false" ht="15" hidden="false" customHeight="false" outlineLevel="0" collapsed="false">
      <c r="A1328" s="90" t="str">
        <f aca="false">Gov_Map!$H572&amp;""</f>
        <v>—</v>
      </c>
      <c r="B1328" s="71" t="s">
        <v>8333</v>
      </c>
      <c r="C1328" s="58" t="n">
        <v>572</v>
      </c>
      <c r="D1328" s="58" t="s">
        <v>8334</v>
      </c>
      <c r="E1328" s="58" t="s">
        <v>8334</v>
      </c>
      <c r="F1328" s="59" t="s">
        <v>608</v>
      </c>
    </row>
    <row r="1329" customFormat="false" ht="15" hidden="false" customHeight="false" outlineLevel="0" collapsed="false">
      <c r="A1329" s="90" t="str">
        <f aca="false">Gov_Map!$H573&amp;""</f>
        <v>—</v>
      </c>
      <c r="B1329" s="71" t="s">
        <v>8333</v>
      </c>
      <c r="C1329" s="58" t="n">
        <v>573</v>
      </c>
      <c r="D1329" s="58" t="s">
        <v>8334</v>
      </c>
      <c r="E1329" s="58" t="s">
        <v>8334</v>
      </c>
      <c r="F1329" s="59" t="s">
        <v>608</v>
      </c>
    </row>
    <row r="1330" customFormat="false" ht="15" hidden="false" customHeight="false" outlineLevel="0" collapsed="false">
      <c r="A1330" s="90" t="str">
        <f aca="false">Gov_Map!$H574&amp;""</f>
        <v>—</v>
      </c>
      <c r="B1330" s="71" t="s">
        <v>8333</v>
      </c>
      <c r="C1330" s="58" t="n">
        <v>574</v>
      </c>
      <c r="D1330" s="58" t="s">
        <v>8334</v>
      </c>
      <c r="E1330" s="58" t="s">
        <v>8334</v>
      </c>
      <c r="F1330" s="59" t="s">
        <v>608</v>
      </c>
    </row>
    <row r="1331" customFormat="false" ht="15" hidden="false" customHeight="false" outlineLevel="0" collapsed="false">
      <c r="A1331" s="90" t="str">
        <f aca="false">Gov_Map!$H575&amp;""</f>
        <v>SRC_MOD_028</v>
      </c>
      <c r="B1331" s="71" t="s">
        <v>8333</v>
      </c>
      <c r="C1331" s="58" t="n">
        <v>575</v>
      </c>
      <c r="D1331" s="58" t="s">
        <v>8334</v>
      </c>
      <c r="E1331" s="58" t="s">
        <v>8334</v>
      </c>
      <c r="F1331" s="59" t="s">
        <v>608</v>
      </c>
    </row>
    <row r="1332" customFormat="false" ht="15" hidden="false" customHeight="false" outlineLevel="0" collapsed="false">
      <c r="A1332" s="90" t="str">
        <f aca="false">Gov_Map!$H576&amp;""</f>
        <v>—</v>
      </c>
      <c r="B1332" s="71" t="s">
        <v>8333</v>
      </c>
      <c r="C1332" s="58" t="n">
        <v>576</v>
      </c>
      <c r="D1332" s="58" t="s">
        <v>8334</v>
      </c>
      <c r="E1332" s="58" t="s">
        <v>8334</v>
      </c>
      <c r="F1332" s="59" t="s">
        <v>608</v>
      </c>
    </row>
    <row r="1333" customFormat="false" ht="15" hidden="false" customHeight="false" outlineLevel="0" collapsed="false">
      <c r="A1333" s="90" t="str">
        <f aca="false">Gov_Map!$H577&amp;""</f>
        <v>—</v>
      </c>
      <c r="B1333" s="71" t="s">
        <v>8333</v>
      </c>
      <c r="C1333" s="58" t="n">
        <v>577</v>
      </c>
      <c r="D1333" s="58" t="s">
        <v>8334</v>
      </c>
      <c r="E1333" s="58" t="s">
        <v>8334</v>
      </c>
      <c r="F1333" s="59" t="s">
        <v>608</v>
      </c>
    </row>
    <row r="1334" customFormat="false" ht="15" hidden="false" customHeight="false" outlineLevel="0" collapsed="false">
      <c r="A1334" s="90" t="str">
        <f aca="false">Gov_Map!$H578&amp;""</f>
        <v>SRC_HW_055</v>
      </c>
      <c r="B1334" s="71" t="s">
        <v>8333</v>
      </c>
      <c r="C1334" s="58" t="n">
        <v>578</v>
      </c>
      <c r="D1334" s="58" t="s">
        <v>8334</v>
      </c>
      <c r="E1334" s="58" t="s">
        <v>8334</v>
      </c>
      <c r="F1334" s="59" t="s">
        <v>608</v>
      </c>
    </row>
    <row r="1335" customFormat="false" ht="15" hidden="false" customHeight="false" outlineLevel="0" collapsed="false">
      <c r="A1335" s="90" t="str">
        <f aca="false">Gov_Map!$H579&amp;""</f>
        <v>—</v>
      </c>
      <c r="B1335" s="71" t="s">
        <v>8333</v>
      </c>
      <c r="C1335" s="58" t="n">
        <v>579</v>
      </c>
      <c r="D1335" s="58" t="s">
        <v>8334</v>
      </c>
      <c r="E1335" s="58" t="s">
        <v>8334</v>
      </c>
      <c r="F1335" s="59" t="s">
        <v>608</v>
      </c>
    </row>
    <row r="1336" customFormat="false" ht="15" hidden="false" customHeight="false" outlineLevel="0" collapsed="false">
      <c r="A1336" s="90" t="str">
        <f aca="false">Gov_Map!$H580&amp;""</f>
        <v>—</v>
      </c>
      <c r="B1336" s="71" t="s">
        <v>8333</v>
      </c>
      <c r="C1336" s="58" t="n">
        <v>580</v>
      </c>
      <c r="D1336" s="58" t="s">
        <v>8334</v>
      </c>
      <c r="E1336" s="58" t="s">
        <v>8334</v>
      </c>
      <c r="F1336" s="59" t="s">
        <v>608</v>
      </c>
    </row>
    <row r="1337" customFormat="false" ht="15" hidden="false" customHeight="false" outlineLevel="0" collapsed="false">
      <c r="A1337" s="90" t="str">
        <f aca="false">Gov_Map!$H581&amp;""</f>
        <v>—</v>
      </c>
      <c r="B1337" s="71" t="s">
        <v>8333</v>
      </c>
      <c r="C1337" s="58" t="n">
        <v>581</v>
      </c>
      <c r="D1337" s="58" t="s">
        <v>8334</v>
      </c>
      <c r="E1337" s="58" t="s">
        <v>8334</v>
      </c>
      <c r="F1337" s="59" t="s">
        <v>608</v>
      </c>
    </row>
    <row r="1338" customFormat="false" ht="15" hidden="false" customHeight="false" outlineLevel="0" collapsed="false">
      <c r="A1338" s="90" t="str">
        <f aca="false">Gov_Map!$H582&amp;""</f>
        <v>—</v>
      </c>
      <c r="B1338" s="71" t="s">
        <v>8333</v>
      </c>
      <c r="C1338" s="58" t="n">
        <v>582</v>
      </c>
      <c r="D1338" s="58" t="s">
        <v>8334</v>
      </c>
      <c r="E1338" s="58" t="s">
        <v>8334</v>
      </c>
      <c r="F1338" s="59" t="s">
        <v>608</v>
      </c>
    </row>
    <row r="1339" customFormat="false" ht="15" hidden="false" customHeight="false" outlineLevel="0" collapsed="false">
      <c r="A1339" s="90" t="str">
        <f aca="false">Gov_Map!$H583&amp;""</f>
        <v>—</v>
      </c>
      <c r="B1339" s="71" t="s">
        <v>8333</v>
      </c>
      <c r="C1339" s="58" t="n">
        <v>583</v>
      </c>
      <c r="D1339" s="58" t="s">
        <v>8334</v>
      </c>
      <c r="E1339" s="58" t="s">
        <v>8334</v>
      </c>
      <c r="F1339" s="59" t="s">
        <v>608</v>
      </c>
    </row>
    <row r="1340" customFormat="false" ht="15" hidden="false" customHeight="false" outlineLevel="0" collapsed="false">
      <c r="A1340" s="90" t="str">
        <f aca="false">Gov_Map!$H584&amp;""</f>
        <v>—</v>
      </c>
      <c r="B1340" s="71" t="s">
        <v>8333</v>
      </c>
      <c r="C1340" s="58" t="n">
        <v>584</v>
      </c>
      <c r="D1340" s="58" t="s">
        <v>8334</v>
      </c>
      <c r="E1340" s="58" t="s">
        <v>8334</v>
      </c>
      <c r="F1340" s="59" t="s">
        <v>608</v>
      </c>
    </row>
    <row r="1341" customFormat="false" ht="15" hidden="false" customHeight="false" outlineLevel="0" collapsed="false">
      <c r="A1341" s="90" t="str">
        <f aca="false">Gov_Map!$H585&amp;""</f>
        <v>—</v>
      </c>
      <c r="B1341" s="71" t="s">
        <v>8333</v>
      </c>
      <c r="C1341" s="58" t="n">
        <v>585</v>
      </c>
      <c r="D1341" s="58" t="s">
        <v>8334</v>
      </c>
      <c r="E1341" s="58" t="s">
        <v>8334</v>
      </c>
      <c r="F1341" s="59" t="s">
        <v>608</v>
      </c>
    </row>
    <row r="1342" customFormat="false" ht="15" hidden="false" customHeight="false" outlineLevel="0" collapsed="false">
      <c r="A1342" s="90" t="str">
        <f aca="false">Gov_Map!$H586&amp;""</f>
        <v>—</v>
      </c>
      <c r="B1342" s="71" t="s">
        <v>8333</v>
      </c>
      <c r="C1342" s="58" t="n">
        <v>586</v>
      </c>
      <c r="D1342" s="58" t="s">
        <v>8334</v>
      </c>
      <c r="E1342" s="58" t="s">
        <v>8334</v>
      </c>
      <c r="F1342" s="59" t="s">
        <v>608</v>
      </c>
    </row>
    <row r="1343" customFormat="false" ht="15" hidden="false" customHeight="false" outlineLevel="0" collapsed="false">
      <c r="A1343" s="90" t="str">
        <f aca="false">Gov_Map!$H587&amp;""</f>
        <v>—</v>
      </c>
      <c r="B1343" s="71" t="s">
        <v>8333</v>
      </c>
      <c r="C1343" s="58" t="n">
        <v>587</v>
      </c>
      <c r="D1343" s="58" t="s">
        <v>8334</v>
      </c>
      <c r="E1343" s="58" t="s">
        <v>8334</v>
      </c>
      <c r="F1343" s="59" t="s">
        <v>608</v>
      </c>
    </row>
    <row r="1344" customFormat="false" ht="15" hidden="false" customHeight="false" outlineLevel="0" collapsed="false">
      <c r="A1344" s="90" t="str">
        <f aca="false">Gov_Map!$H588&amp;""</f>
        <v>SRC_DEM_010</v>
      </c>
      <c r="B1344" s="71" t="s">
        <v>8333</v>
      </c>
      <c r="C1344" s="58" t="n">
        <v>588</v>
      </c>
      <c r="D1344" s="58" t="s">
        <v>8334</v>
      </c>
      <c r="E1344" s="58" t="s">
        <v>8334</v>
      </c>
      <c r="F1344" s="59" t="s">
        <v>608</v>
      </c>
    </row>
    <row r="1345" customFormat="false" ht="15" hidden="false" customHeight="false" outlineLevel="0" collapsed="false">
      <c r="A1345" s="90" t="str">
        <f aca="false">Gov_Map!$H589&amp;""</f>
        <v>—</v>
      </c>
      <c r="B1345" s="71" t="s">
        <v>8333</v>
      </c>
      <c r="C1345" s="58" t="n">
        <v>589</v>
      </c>
      <c r="D1345" s="58" t="s">
        <v>8334</v>
      </c>
      <c r="E1345" s="58" t="s">
        <v>8334</v>
      </c>
      <c r="F1345" s="59" t="s">
        <v>608</v>
      </c>
    </row>
    <row r="1346" customFormat="false" ht="15" hidden="false" customHeight="false" outlineLevel="0" collapsed="false">
      <c r="A1346" s="90" t="str">
        <f aca="false">Gov_Map!$H590&amp;""</f>
        <v>SRC_DEM_012</v>
      </c>
      <c r="B1346" s="71" t="s">
        <v>8333</v>
      </c>
      <c r="C1346" s="58" t="n">
        <v>590</v>
      </c>
      <c r="D1346" s="58" t="s">
        <v>8334</v>
      </c>
      <c r="E1346" s="58" t="s">
        <v>8334</v>
      </c>
      <c r="F1346" s="59" t="s">
        <v>608</v>
      </c>
    </row>
    <row r="1347" customFormat="false" ht="15" hidden="false" customHeight="false" outlineLevel="0" collapsed="false">
      <c r="A1347" s="90" t="str">
        <f aca="false">Gov_Map!$H591&amp;""</f>
        <v>—</v>
      </c>
      <c r="B1347" s="71" t="s">
        <v>8333</v>
      </c>
      <c r="C1347" s="58" t="n">
        <v>591</v>
      </c>
      <c r="D1347" s="58" t="s">
        <v>8334</v>
      </c>
      <c r="E1347" s="58" t="s">
        <v>8334</v>
      </c>
      <c r="F1347" s="59" t="s">
        <v>608</v>
      </c>
    </row>
    <row r="1348" customFormat="false" ht="15" hidden="false" customHeight="false" outlineLevel="0" collapsed="false">
      <c r="A1348" s="90" t="str">
        <f aca="false">Gov_Map!$H592&amp;""</f>
        <v>SRC_DEM_005</v>
      </c>
      <c r="B1348" s="71" t="s">
        <v>8333</v>
      </c>
      <c r="C1348" s="58" t="n">
        <v>592</v>
      </c>
      <c r="D1348" s="58" t="s">
        <v>8334</v>
      </c>
      <c r="E1348" s="58" t="s">
        <v>8334</v>
      </c>
      <c r="F1348" s="59" t="s">
        <v>608</v>
      </c>
    </row>
    <row r="1349" customFormat="false" ht="15" hidden="false" customHeight="false" outlineLevel="0" collapsed="false">
      <c r="A1349" s="90" t="str">
        <f aca="false">Gov_Map!$H593&amp;""</f>
        <v>—</v>
      </c>
      <c r="B1349" s="71" t="s">
        <v>8333</v>
      </c>
      <c r="C1349" s="58" t="n">
        <v>593</v>
      </c>
      <c r="D1349" s="58" t="s">
        <v>8334</v>
      </c>
      <c r="E1349" s="58" t="s">
        <v>8334</v>
      </c>
      <c r="F1349" s="59" t="s">
        <v>608</v>
      </c>
    </row>
    <row r="1350" customFormat="false" ht="15" hidden="false" customHeight="false" outlineLevel="0" collapsed="false">
      <c r="A1350" s="90" t="str">
        <f aca="false">Gov_Map!$H594&amp;""</f>
        <v>—</v>
      </c>
      <c r="B1350" s="71" t="s">
        <v>8333</v>
      </c>
      <c r="C1350" s="58" t="n">
        <v>594</v>
      </c>
      <c r="D1350" s="58" t="s">
        <v>8334</v>
      </c>
      <c r="E1350" s="58" t="s">
        <v>8334</v>
      </c>
      <c r="F1350" s="59" t="s">
        <v>608</v>
      </c>
    </row>
    <row r="1351" customFormat="false" ht="15" hidden="false" customHeight="false" outlineLevel="0" collapsed="false">
      <c r="A1351" s="90" t="str">
        <f aca="false">Gov_Map!$H595&amp;""</f>
        <v>—</v>
      </c>
      <c r="B1351" s="71" t="s">
        <v>8333</v>
      </c>
      <c r="C1351" s="58" t="n">
        <v>595</v>
      </c>
      <c r="D1351" s="58" t="s">
        <v>8334</v>
      </c>
      <c r="E1351" s="58" t="s">
        <v>8334</v>
      </c>
      <c r="F1351" s="59" t="s">
        <v>608</v>
      </c>
    </row>
    <row r="1352" customFormat="false" ht="15" hidden="false" customHeight="false" outlineLevel="0" collapsed="false">
      <c r="A1352" s="90" t="str">
        <f aca="false">Gov_Map!$H596&amp;""</f>
        <v>—</v>
      </c>
      <c r="B1352" s="71" t="s">
        <v>8333</v>
      </c>
      <c r="C1352" s="58" t="n">
        <v>596</v>
      </c>
      <c r="D1352" s="58" t="s">
        <v>8334</v>
      </c>
      <c r="E1352" s="58" t="s">
        <v>8334</v>
      </c>
      <c r="F1352" s="59" t="s">
        <v>608</v>
      </c>
    </row>
    <row r="1353" customFormat="false" ht="15" hidden="false" customHeight="false" outlineLevel="0" collapsed="false">
      <c r="A1353" s="90" t="str">
        <f aca="false">Gov_Map!$H597&amp;""</f>
        <v>—</v>
      </c>
      <c r="B1353" s="71" t="s">
        <v>8333</v>
      </c>
      <c r="C1353" s="58" t="n">
        <v>597</v>
      </c>
      <c r="D1353" s="58" t="s">
        <v>8334</v>
      </c>
      <c r="E1353" s="58" t="s">
        <v>8334</v>
      </c>
      <c r="F1353" s="59" t="s">
        <v>608</v>
      </c>
    </row>
    <row r="1354" customFormat="false" ht="15" hidden="false" customHeight="false" outlineLevel="0" collapsed="false">
      <c r="A1354" s="90" t="str">
        <f aca="false">Gov_Map!$H598&amp;""</f>
        <v>—</v>
      </c>
      <c r="B1354" s="71" t="s">
        <v>8333</v>
      </c>
      <c r="C1354" s="58" t="n">
        <v>598</v>
      </c>
      <c r="D1354" s="58" t="s">
        <v>8334</v>
      </c>
      <c r="E1354" s="58" t="s">
        <v>8334</v>
      </c>
      <c r="F1354" s="59" t="s">
        <v>608</v>
      </c>
    </row>
    <row r="1355" customFormat="false" ht="15" hidden="false" customHeight="false" outlineLevel="0" collapsed="false">
      <c r="A1355" s="90" t="str">
        <f aca="false">Gov_Map!$H599&amp;""</f>
        <v>SRC_PERF_056</v>
      </c>
      <c r="B1355" s="71" t="s">
        <v>8333</v>
      </c>
      <c r="C1355" s="58" t="n">
        <v>599</v>
      </c>
      <c r="D1355" s="58" t="s">
        <v>8334</v>
      </c>
      <c r="E1355" s="58" t="s">
        <v>8334</v>
      </c>
      <c r="F1355" s="59" t="s">
        <v>608</v>
      </c>
    </row>
    <row r="1356" customFormat="false" ht="15" hidden="false" customHeight="false" outlineLevel="0" collapsed="false">
      <c r="A1356" s="90" t="str">
        <f aca="false">Gov_Map!$H600&amp;""</f>
        <v>—</v>
      </c>
      <c r="B1356" s="71" t="s">
        <v>8333</v>
      </c>
      <c r="C1356" s="58" t="n">
        <v>600</v>
      </c>
      <c r="D1356" s="58" t="s">
        <v>8334</v>
      </c>
      <c r="E1356" s="58" t="s">
        <v>8334</v>
      </c>
      <c r="F1356" s="59" t="s">
        <v>608</v>
      </c>
    </row>
    <row r="1357" customFormat="false" ht="15" hidden="false" customHeight="false" outlineLevel="0" collapsed="false">
      <c r="A1357" s="90" t="str">
        <f aca="false">Gov_Map!$H601&amp;""</f>
        <v>—</v>
      </c>
      <c r="B1357" s="71" t="s">
        <v>8333</v>
      </c>
      <c r="C1357" s="58" t="n">
        <v>601</v>
      </c>
      <c r="D1357" s="58" t="s">
        <v>8334</v>
      </c>
      <c r="E1357" s="58" t="s">
        <v>8334</v>
      </c>
      <c r="F1357" s="59" t="s">
        <v>608</v>
      </c>
    </row>
    <row r="1358" customFormat="false" ht="15" hidden="false" customHeight="false" outlineLevel="0" collapsed="false">
      <c r="A1358" s="90" t="str">
        <f aca="false">Gov_Map!$H602&amp;""</f>
        <v>—</v>
      </c>
      <c r="B1358" s="71" t="s">
        <v>8333</v>
      </c>
      <c r="C1358" s="58" t="n">
        <v>602</v>
      </c>
      <c r="D1358" s="58" t="s">
        <v>8334</v>
      </c>
      <c r="E1358" s="58" t="s">
        <v>8334</v>
      </c>
      <c r="F1358" s="59" t="s">
        <v>608</v>
      </c>
    </row>
    <row r="1359" customFormat="false" ht="15" hidden="false" customHeight="false" outlineLevel="0" collapsed="false">
      <c r="A1359" s="90" t="str">
        <f aca="false">Gov_Map!$H603&amp;""</f>
        <v>—</v>
      </c>
      <c r="B1359" s="71" t="s">
        <v>8333</v>
      </c>
      <c r="C1359" s="58" t="n">
        <v>603</v>
      </c>
      <c r="D1359" s="58" t="s">
        <v>8334</v>
      </c>
      <c r="E1359" s="58" t="s">
        <v>8334</v>
      </c>
      <c r="F1359" s="59" t="s">
        <v>608</v>
      </c>
    </row>
    <row r="1360" customFormat="false" ht="15" hidden="false" customHeight="false" outlineLevel="0" collapsed="false">
      <c r="A1360" s="90" t="str">
        <f aca="false">Gov_Map!$H604&amp;""</f>
        <v>—</v>
      </c>
      <c r="B1360" s="71" t="s">
        <v>8333</v>
      </c>
      <c r="C1360" s="58" t="n">
        <v>604</v>
      </c>
      <c r="D1360" s="58" t="s">
        <v>8334</v>
      </c>
      <c r="E1360" s="58" t="s">
        <v>8334</v>
      </c>
      <c r="F1360" s="59" t="s">
        <v>608</v>
      </c>
    </row>
    <row r="1361" customFormat="false" ht="15" hidden="false" customHeight="false" outlineLevel="0" collapsed="false">
      <c r="A1361" s="90" t="str">
        <f aca="false">Gov_Map!$H605&amp;""</f>
        <v>SRC_DC_015</v>
      </c>
      <c r="B1361" s="71" t="s">
        <v>8333</v>
      </c>
      <c r="C1361" s="58" t="n">
        <v>605</v>
      </c>
      <c r="D1361" s="58" t="s">
        <v>8334</v>
      </c>
      <c r="E1361" s="58" t="s">
        <v>8334</v>
      </c>
      <c r="F1361" s="59" t="s">
        <v>608</v>
      </c>
    </row>
    <row r="1362" customFormat="false" ht="15" hidden="false" customHeight="false" outlineLevel="0" collapsed="false">
      <c r="A1362" s="90" t="str">
        <f aca="false">Gov_Map!$H606&amp;""</f>
        <v>SRC_DC_015</v>
      </c>
      <c r="B1362" s="71" t="s">
        <v>8333</v>
      </c>
      <c r="C1362" s="58" t="n">
        <v>606</v>
      </c>
      <c r="D1362" s="58" t="s">
        <v>8334</v>
      </c>
      <c r="E1362" s="58" t="s">
        <v>8334</v>
      </c>
      <c r="F1362" s="59" t="s">
        <v>608</v>
      </c>
    </row>
    <row r="1363" customFormat="false" ht="15" hidden="false" customHeight="false" outlineLevel="0" collapsed="false">
      <c r="A1363" s="90" t="str">
        <f aca="false">Gov_Map!$H607&amp;""</f>
        <v>SRC_DC_015</v>
      </c>
      <c r="B1363" s="71" t="s">
        <v>8333</v>
      </c>
      <c r="C1363" s="58" t="n">
        <v>607</v>
      </c>
      <c r="D1363" s="58" t="s">
        <v>8334</v>
      </c>
      <c r="E1363" s="58" t="s">
        <v>8334</v>
      </c>
      <c r="F1363" s="59" t="s">
        <v>608</v>
      </c>
    </row>
    <row r="1364" customFormat="false" ht="15" hidden="false" customHeight="false" outlineLevel="0" collapsed="false">
      <c r="A1364" s="90" t="str">
        <f aca="false">Gov_Map!$H608&amp;""</f>
        <v>SRC_DC_015</v>
      </c>
      <c r="B1364" s="71" t="s">
        <v>8333</v>
      </c>
      <c r="C1364" s="58" t="n">
        <v>608</v>
      </c>
      <c r="D1364" s="58" t="s">
        <v>8334</v>
      </c>
      <c r="E1364" s="58" t="s">
        <v>8334</v>
      </c>
      <c r="F1364" s="59" t="s">
        <v>608</v>
      </c>
    </row>
    <row r="1365" customFormat="false" ht="15" hidden="false" customHeight="false" outlineLevel="0" collapsed="false">
      <c r="A1365" s="90" t="str">
        <f aca="false">Gov_Map!$H609&amp;""</f>
        <v>SRC_DC_017</v>
      </c>
      <c r="B1365" s="71" t="s">
        <v>8333</v>
      </c>
      <c r="C1365" s="58" t="n">
        <v>609</v>
      </c>
      <c r="D1365" s="58" t="s">
        <v>8334</v>
      </c>
      <c r="E1365" s="58" t="s">
        <v>8334</v>
      </c>
      <c r="F1365" s="59" t="s">
        <v>608</v>
      </c>
    </row>
    <row r="1366" customFormat="false" ht="15" hidden="false" customHeight="false" outlineLevel="0" collapsed="false">
      <c r="A1366" s="90" t="str">
        <f aca="false">Gov_Map!$H610&amp;""</f>
        <v>SRC_DC_017</v>
      </c>
      <c r="B1366" s="71" t="s">
        <v>8333</v>
      </c>
      <c r="C1366" s="58" t="n">
        <v>610</v>
      </c>
      <c r="D1366" s="58" t="s">
        <v>8334</v>
      </c>
      <c r="E1366" s="58" t="s">
        <v>8334</v>
      </c>
      <c r="F1366" s="59" t="s">
        <v>608</v>
      </c>
    </row>
    <row r="1367" customFormat="false" ht="15" hidden="false" customHeight="false" outlineLevel="0" collapsed="false">
      <c r="A1367" s="90" t="str">
        <f aca="false">Gov_Map!$H611&amp;""</f>
        <v>SRC_DC_017</v>
      </c>
      <c r="B1367" s="71" t="s">
        <v>8333</v>
      </c>
      <c r="C1367" s="58" t="n">
        <v>611</v>
      </c>
      <c r="D1367" s="58" t="s">
        <v>8334</v>
      </c>
      <c r="E1367" s="58" t="s">
        <v>8334</v>
      </c>
      <c r="F1367" s="59" t="s">
        <v>608</v>
      </c>
    </row>
    <row r="1368" customFormat="false" ht="15" hidden="false" customHeight="false" outlineLevel="0" collapsed="false">
      <c r="A1368" s="90" t="str">
        <f aca="false">Gov_Map!$H612&amp;""</f>
        <v>SRC_DEM_039</v>
      </c>
      <c r="B1368" s="71" t="s">
        <v>8333</v>
      </c>
      <c r="C1368" s="58" t="n">
        <v>612</v>
      </c>
      <c r="D1368" s="58" t="s">
        <v>8334</v>
      </c>
      <c r="E1368" s="58" t="s">
        <v>8334</v>
      </c>
      <c r="F1368" s="59" t="s">
        <v>608</v>
      </c>
    </row>
    <row r="1369" customFormat="false" ht="15" hidden="false" customHeight="false" outlineLevel="0" collapsed="false">
      <c r="A1369" s="90" t="str">
        <f aca="false">Gov_Map!$H613&amp;""</f>
        <v>—</v>
      </c>
      <c r="B1369" s="71" t="s">
        <v>8333</v>
      </c>
      <c r="C1369" s="58" t="n">
        <v>613</v>
      </c>
      <c r="D1369" s="58" t="s">
        <v>8334</v>
      </c>
      <c r="E1369" s="58" t="s">
        <v>8334</v>
      </c>
      <c r="F1369" s="59" t="s">
        <v>608</v>
      </c>
    </row>
    <row r="1370" customFormat="false" ht="15" hidden="false" customHeight="false" outlineLevel="0" collapsed="false">
      <c r="A1370" s="90" t="str">
        <f aca="false">Gov_Map!$H614&amp;""</f>
        <v>—</v>
      </c>
      <c r="B1370" s="71" t="s">
        <v>8333</v>
      </c>
      <c r="C1370" s="58" t="n">
        <v>614</v>
      </c>
      <c r="D1370" s="58" t="s">
        <v>8334</v>
      </c>
      <c r="E1370" s="58" t="s">
        <v>8334</v>
      </c>
      <c r="F1370" s="59" t="s">
        <v>608</v>
      </c>
    </row>
    <row r="1371" customFormat="false" ht="15" hidden="false" customHeight="false" outlineLevel="0" collapsed="false">
      <c r="A1371" s="90" t="str">
        <f aca="false">Gov_Map!$H615&amp;""</f>
        <v>—</v>
      </c>
      <c r="B1371" s="71" t="s">
        <v>8333</v>
      </c>
      <c r="C1371" s="58" t="n">
        <v>615</v>
      </c>
      <c r="D1371" s="58" t="s">
        <v>8334</v>
      </c>
      <c r="E1371" s="58" t="s">
        <v>8334</v>
      </c>
      <c r="F1371" s="59" t="s">
        <v>608</v>
      </c>
    </row>
    <row r="1372" customFormat="false" ht="15" hidden="false" customHeight="false" outlineLevel="0" collapsed="false">
      <c r="A1372" s="90" t="str">
        <f aca="false">Gov_Map!$H616&amp;""</f>
        <v>SRC_DEM_051</v>
      </c>
      <c r="B1372" s="71" t="s">
        <v>8333</v>
      </c>
      <c r="C1372" s="58" t="n">
        <v>616</v>
      </c>
      <c r="D1372" s="58" t="s">
        <v>8334</v>
      </c>
      <c r="E1372" s="58" t="s">
        <v>8334</v>
      </c>
      <c r="F1372" s="59" t="s">
        <v>608</v>
      </c>
    </row>
    <row r="1373" customFormat="false" ht="15" hidden="false" customHeight="false" outlineLevel="0" collapsed="false">
      <c r="A1373" s="90" t="str">
        <f aca="false">Gov_Map!$H617&amp;""</f>
        <v>—</v>
      </c>
      <c r="B1373" s="71" t="s">
        <v>8333</v>
      </c>
      <c r="C1373" s="58" t="n">
        <v>617</v>
      </c>
      <c r="D1373" s="58" t="s">
        <v>8334</v>
      </c>
      <c r="E1373" s="58" t="s">
        <v>8334</v>
      </c>
      <c r="F1373" s="59" t="s">
        <v>608</v>
      </c>
    </row>
    <row r="1374" customFormat="false" ht="15" hidden="false" customHeight="false" outlineLevel="0" collapsed="false">
      <c r="A1374" s="90" t="str">
        <f aca="false">Gov_Map!$H618&amp;""</f>
        <v>SRC_DEM_071</v>
      </c>
      <c r="B1374" s="71" t="s">
        <v>8333</v>
      </c>
      <c r="C1374" s="58" t="n">
        <v>618</v>
      </c>
      <c r="D1374" s="58" t="s">
        <v>8334</v>
      </c>
      <c r="E1374" s="58" t="s">
        <v>8334</v>
      </c>
      <c r="F1374" s="59" t="s">
        <v>608</v>
      </c>
    </row>
    <row r="1375" customFormat="false" ht="15" hidden="false" customHeight="false" outlineLevel="0" collapsed="false">
      <c r="A1375" s="90" t="str">
        <f aca="false">Gov_Map!$H619&amp;""</f>
        <v>—</v>
      </c>
      <c r="B1375" s="71" t="s">
        <v>8333</v>
      </c>
      <c r="C1375" s="58" t="n">
        <v>619</v>
      </c>
      <c r="D1375" s="58" t="s">
        <v>8334</v>
      </c>
      <c r="E1375" s="58" t="s">
        <v>8334</v>
      </c>
      <c r="F1375" s="59" t="s">
        <v>608</v>
      </c>
    </row>
    <row r="1376" customFormat="false" ht="15" hidden="false" customHeight="false" outlineLevel="0" collapsed="false">
      <c r="A1376" s="90" t="str">
        <f aca="false">Gov_Map!$H620&amp;""</f>
        <v>—</v>
      </c>
      <c r="B1376" s="71" t="s">
        <v>8333</v>
      </c>
      <c r="C1376" s="58" t="n">
        <v>620</v>
      </c>
      <c r="D1376" s="58" t="s">
        <v>8334</v>
      </c>
      <c r="E1376" s="58" t="s">
        <v>8334</v>
      </c>
      <c r="F1376" s="59" t="s">
        <v>608</v>
      </c>
    </row>
    <row r="1377" customFormat="false" ht="15" hidden="false" customHeight="false" outlineLevel="0" collapsed="false">
      <c r="A1377" s="90" t="str">
        <f aca="false">Gov_Map!$H621&amp;""</f>
        <v>—</v>
      </c>
      <c r="B1377" s="71" t="s">
        <v>8333</v>
      </c>
      <c r="C1377" s="58" t="n">
        <v>621</v>
      </c>
      <c r="D1377" s="58" t="s">
        <v>8334</v>
      </c>
      <c r="E1377" s="58" t="s">
        <v>8334</v>
      </c>
      <c r="F1377" s="59" t="s">
        <v>608</v>
      </c>
    </row>
    <row r="1378" customFormat="false" ht="15" hidden="false" customHeight="false" outlineLevel="0" collapsed="false">
      <c r="A1378" s="90" t="str">
        <f aca="false">Gov_Map!$H622&amp;""</f>
        <v>—</v>
      </c>
      <c r="B1378" s="71" t="s">
        <v>8333</v>
      </c>
      <c r="C1378" s="58" t="n">
        <v>622</v>
      </c>
      <c r="D1378" s="58" t="s">
        <v>8334</v>
      </c>
      <c r="E1378" s="58" t="s">
        <v>8334</v>
      </c>
      <c r="F1378" s="59" t="s">
        <v>608</v>
      </c>
    </row>
    <row r="1379" customFormat="false" ht="15" hidden="false" customHeight="false" outlineLevel="0" collapsed="false">
      <c r="A1379" s="90" t="str">
        <f aca="false">Gov_Map!$H623&amp;""</f>
        <v>—</v>
      </c>
      <c r="B1379" s="71" t="s">
        <v>8333</v>
      </c>
      <c r="C1379" s="58" t="n">
        <v>623</v>
      </c>
      <c r="D1379" s="58" t="s">
        <v>8334</v>
      </c>
      <c r="E1379" s="58" t="s">
        <v>8334</v>
      </c>
      <c r="F1379" s="59" t="s">
        <v>608</v>
      </c>
    </row>
    <row r="1380" customFormat="false" ht="15" hidden="false" customHeight="false" outlineLevel="0" collapsed="false">
      <c r="A1380" s="90" t="str">
        <f aca="false">Gov_Map!$H624&amp;""</f>
        <v>—</v>
      </c>
      <c r="B1380" s="71" t="s">
        <v>8333</v>
      </c>
      <c r="C1380" s="58" t="n">
        <v>624</v>
      </c>
      <c r="D1380" s="58" t="s">
        <v>8334</v>
      </c>
      <c r="E1380" s="58" t="s">
        <v>8334</v>
      </c>
      <c r="F1380" s="59" t="s">
        <v>608</v>
      </c>
    </row>
    <row r="1381" customFormat="false" ht="15" hidden="false" customHeight="false" outlineLevel="0" collapsed="false">
      <c r="A1381" s="90" t="str">
        <f aca="false">Gov_Map!$H625&amp;""</f>
        <v>—</v>
      </c>
      <c r="B1381" s="71" t="s">
        <v>8333</v>
      </c>
      <c r="C1381" s="58" t="n">
        <v>625</v>
      </c>
      <c r="D1381" s="58" t="s">
        <v>8334</v>
      </c>
      <c r="E1381" s="58" t="s">
        <v>8334</v>
      </c>
      <c r="F1381" s="59" t="s">
        <v>608</v>
      </c>
    </row>
    <row r="1382" customFormat="false" ht="15" hidden="false" customHeight="false" outlineLevel="0" collapsed="false">
      <c r="A1382" s="90" t="str">
        <f aca="false">Gov_Map!$H626&amp;""</f>
        <v>—</v>
      </c>
      <c r="B1382" s="71" t="s">
        <v>8333</v>
      </c>
      <c r="C1382" s="58" t="n">
        <v>626</v>
      </c>
      <c r="D1382" s="58" t="s">
        <v>8334</v>
      </c>
      <c r="E1382" s="58" t="s">
        <v>8334</v>
      </c>
      <c r="F1382" s="59" t="s">
        <v>608</v>
      </c>
    </row>
    <row r="1383" customFormat="false" ht="15" hidden="false" customHeight="false" outlineLevel="0" collapsed="false">
      <c r="A1383" s="90" t="str">
        <f aca="false">Gov_Map!$H627&amp;""</f>
        <v>—</v>
      </c>
      <c r="B1383" s="71" t="s">
        <v>8333</v>
      </c>
      <c r="C1383" s="58" t="n">
        <v>627</v>
      </c>
      <c r="D1383" s="58" t="s">
        <v>8334</v>
      </c>
      <c r="E1383" s="58" t="s">
        <v>8334</v>
      </c>
      <c r="F1383" s="59" t="s">
        <v>608</v>
      </c>
    </row>
    <row r="1384" customFormat="false" ht="15" hidden="false" customHeight="false" outlineLevel="0" collapsed="false">
      <c r="A1384" s="90" t="str">
        <f aca="false">Gov_Map!$H628&amp;""</f>
        <v>SRC_DEM_042</v>
      </c>
      <c r="B1384" s="71" t="s">
        <v>8333</v>
      </c>
      <c r="C1384" s="58" t="n">
        <v>628</v>
      </c>
      <c r="D1384" s="58" t="s">
        <v>8334</v>
      </c>
      <c r="E1384" s="58" t="s">
        <v>8334</v>
      </c>
      <c r="F1384" s="59" t="s">
        <v>608</v>
      </c>
    </row>
    <row r="1385" customFormat="false" ht="15" hidden="false" customHeight="false" outlineLevel="0" collapsed="false">
      <c r="A1385" s="90" t="str">
        <f aca="false">Gov_Map!$H629&amp;""</f>
        <v>SRC_DEM_023</v>
      </c>
      <c r="B1385" s="71" t="s">
        <v>8333</v>
      </c>
      <c r="C1385" s="58" t="n">
        <v>629</v>
      </c>
      <c r="D1385" s="58" t="s">
        <v>8334</v>
      </c>
      <c r="E1385" s="58" t="s">
        <v>8334</v>
      </c>
      <c r="F1385" s="59" t="s">
        <v>608</v>
      </c>
    </row>
    <row r="1386" customFormat="false" ht="15" hidden="false" customHeight="false" outlineLevel="0" collapsed="false">
      <c r="A1386" s="90" t="str">
        <f aca="false">Gov_Map!$H630&amp;""</f>
        <v>SRC_DEM_071</v>
      </c>
      <c r="B1386" s="71" t="s">
        <v>8333</v>
      </c>
      <c r="C1386" s="58" t="n">
        <v>630</v>
      </c>
      <c r="D1386" s="58" t="s">
        <v>8334</v>
      </c>
      <c r="E1386" s="58" t="s">
        <v>8334</v>
      </c>
      <c r="F1386" s="59" t="s">
        <v>608</v>
      </c>
    </row>
    <row r="1387" customFormat="false" ht="15" hidden="false" customHeight="false" outlineLevel="0" collapsed="false">
      <c r="A1387" s="90" t="str">
        <f aca="false">Gov_Map!$H631&amp;""</f>
        <v>SRC_DEM_011</v>
      </c>
      <c r="B1387" s="71" t="s">
        <v>8333</v>
      </c>
      <c r="C1387" s="58" t="n">
        <v>631</v>
      </c>
      <c r="D1387" s="58" t="s">
        <v>8334</v>
      </c>
      <c r="E1387" s="58" t="s">
        <v>8334</v>
      </c>
      <c r="F1387" s="59" t="s">
        <v>608</v>
      </c>
    </row>
    <row r="1388" customFormat="false" ht="15" hidden="false" customHeight="false" outlineLevel="0" collapsed="false">
      <c r="A1388" s="90" t="str">
        <f aca="false">Gov_Map!$H632&amp;""</f>
        <v>SRC_DEM_012</v>
      </c>
      <c r="B1388" s="71" t="s">
        <v>8333</v>
      </c>
      <c r="C1388" s="58" t="n">
        <v>632</v>
      </c>
      <c r="D1388" s="58" t="s">
        <v>8334</v>
      </c>
      <c r="E1388" s="58" t="s">
        <v>8334</v>
      </c>
      <c r="F1388" s="59" t="s">
        <v>608</v>
      </c>
    </row>
    <row r="1389" customFormat="false" ht="15" hidden="false" customHeight="false" outlineLevel="0" collapsed="false">
      <c r="A1389" s="90" t="str">
        <f aca="false">Gov_Map!$H633&amp;""</f>
        <v>—</v>
      </c>
      <c r="B1389" s="71" t="s">
        <v>8333</v>
      </c>
      <c r="C1389" s="58" t="n">
        <v>633</v>
      </c>
      <c r="D1389" s="58" t="s">
        <v>8334</v>
      </c>
      <c r="E1389" s="58" t="s">
        <v>8334</v>
      </c>
      <c r="F1389" s="59" t="s">
        <v>608</v>
      </c>
    </row>
    <row r="1390" customFormat="false" ht="15" hidden="false" customHeight="false" outlineLevel="0" collapsed="false">
      <c r="A1390" s="90" t="str">
        <f aca="false">Gov_Map!$H634&amp;""</f>
        <v>—</v>
      </c>
      <c r="B1390" s="71" t="s">
        <v>8333</v>
      </c>
      <c r="C1390" s="58" t="n">
        <v>634</v>
      </c>
      <c r="D1390" s="58" t="s">
        <v>8334</v>
      </c>
      <c r="E1390" s="58" t="s">
        <v>8334</v>
      </c>
      <c r="F1390" s="59" t="s">
        <v>608</v>
      </c>
    </row>
    <row r="1391" customFormat="false" ht="15" hidden="false" customHeight="false" outlineLevel="0" collapsed="false">
      <c r="A1391" s="90" t="str">
        <f aca="false">Gov_Map!$H635&amp;""</f>
        <v>—</v>
      </c>
      <c r="B1391" s="71" t="s">
        <v>8333</v>
      </c>
      <c r="C1391" s="58" t="n">
        <v>635</v>
      </c>
      <c r="D1391" s="58" t="s">
        <v>8334</v>
      </c>
      <c r="E1391" s="58" t="s">
        <v>8334</v>
      </c>
      <c r="F1391" s="59" t="s">
        <v>608</v>
      </c>
    </row>
    <row r="1392" customFormat="false" ht="15" hidden="false" customHeight="false" outlineLevel="0" collapsed="false">
      <c r="A1392" s="90" t="str">
        <f aca="false">Gov_Map!$H636&amp;""</f>
        <v>—</v>
      </c>
      <c r="B1392" s="71" t="s">
        <v>8333</v>
      </c>
      <c r="C1392" s="58" t="n">
        <v>636</v>
      </c>
      <c r="D1392" s="58" t="s">
        <v>8334</v>
      </c>
      <c r="E1392" s="58" t="s">
        <v>8334</v>
      </c>
      <c r="F1392" s="59" t="s">
        <v>608</v>
      </c>
    </row>
    <row r="1393" customFormat="false" ht="15" hidden="false" customHeight="false" outlineLevel="0" collapsed="false">
      <c r="A1393" s="90" t="str">
        <f aca="false">Gov_Map!$H637&amp;""</f>
        <v>—</v>
      </c>
      <c r="B1393" s="71" t="s">
        <v>8333</v>
      </c>
      <c r="C1393" s="58" t="n">
        <v>637</v>
      </c>
      <c r="D1393" s="58" t="s">
        <v>8334</v>
      </c>
      <c r="E1393" s="58" t="s">
        <v>8334</v>
      </c>
      <c r="F1393" s="59" t="s">
        <v>608</v>
      </c>
    </row>
    <row r="1394" customFormat="false" ht="15" hidden="false" customHeight="false" outlineLevel="0" collapsed="false">
      <c r="A1394" s="90" t="str">
        <f aca="false">Gov_Map!$H638&amp;""</f>
        <v>—</v>
      </c>
      <c r="B1394" s="71" t="s">
        <v>8333</v>
      </c>
      <c r="C1394" s="58" t="n">
        <v>638</v>
      </c>
      <c r="D1394" s="58" t="s">
        <v>8334</v>
      </c>
      <c r="E1394" s="58" t="s">
        <v>8334</v>
      </c>
      <c r="F1394" s="59" t="s">
        <v>608</v>
      </c>
    </row>
    <row r="1395" customFormat="false" ht="15" hidden="false" customHeight="false" outlineLevel="0" collapsed="false">
      <c r="A1395" s="90" t="str">
        <f aca="false">Gov_Map!$H639&amp;""</f>
        <v>—</v>
      </c>
      <c r="B1395" s="71" t="s">
        <v>8333</v>
      </c>
      <c r="C1395" s="58" t="n">
        <v>639</v>
      </c>
      <c r="D1395" s="58" t="s">
        <v>8334</v>
      </c>
      <c r="E1395" s="58" t="s">
        <v>8334</v>
      </c>
      <c r="F1395" s="59" t="s">
        <v>608</v>
      </c>
    </row>
    <row r="1396" customFormat="false" ht="15" hidden="false" customHeight="false" outlineLevel="0" collapsed="false">
      <c r="A1396" s="90" t="str">
        <f aca="false">Gov_Map!$H640&amp;""</f>
        <v>—</v>
      </c>
      <c r="B1396" s="71" t="s">
        <v>8333</v>
      </c>
      <c r="C1396" s="58" t="n">
        <v>640</v>
      </c>
      <c r="D1396" s="58" t="s">
        <v>8334</v>
      </c>
      <c r="E1396" s="58" t="s">
        <v>8334</v>
      </c>
      <c r="F1396" s="59" t="s">
        <v>608</v>
      </c>
    </row>
    <row r="1397" customFormat="false" ht="15" hidden="false" customHeight="false" outlineLevel="0" collapsed="false">
      <c r="A1397" s="90" t="str">
        <f aca="false">Gov_Map!$H641&amp;""</f>
        <v>—</v>
      </c>
      <c r="B1397" s="71" t="s">
        <v>8333</v>
      </c>
      <c r="C1397" s="58" t="n">
        <v>641</v>
      </c>
      <c r="D1397" s="58" t="s">
        <v>8334</v>
      </c>
      <c r="E1397" s="58" t="s">
        <v>8334</v>
      </c>
      <c r="F1397" s="59" t="s">
        <v>608</v>
      </c>
    </row>
    <row r="1398" customFormat="false" ht="15" hidden="false" customHeight="false" outlineLevel="0" collapsed="false">
      <c r="A1398" s="90" t="str">
        <f aca="false">Gov_Map!$H642&amp;""</f>
        <v>—</v>
      </c>
      <c r="B1398" s="71" t="s">
        <v>8333</v>
      </c>
      <c r="C1398" s="58" t="n">
        <v>642</v>
      </c>
      <c r="D1398" s="58" t="s">
        <v>8334</v>
      </c>
      <c r="E1398" s="58" t="s">
        <v>8334</v>
      </c>
      <c r="F1398" s="59" t="s">
        <v>608</v>
      </c>
    </row>
    <row r="1399" customFormat="false" ht="15" hidden="false" customHeight="false" outlineLevel="0" collapsed="false">
      <c r="A1399" s="90" t="str">
        <f aca="false">Gov_Map!$H643&amp;""</f>
        <v>—</v>
      </c>
      <c r="B1399" s="71" t="s">
        <v>8333</v>
      </c>
      <c r="C1399" s="58" t="n">
        <v>643</v>
      </c>
      <c r="D1399" s="58" t="s">
        <v>8334</v>
      </c>
      <c r="E1399" s="58" t="s">
        <v>8334</v>
      </c>
      <c r="F1399" s="59" t="s">
        <v>608</v>
      </c>
    </row>
    <row r="1400" customFormat="false" ht="15" hidden="false" customHeight="false" outlineLevel="0" collapsed="false">
      <c r="A1400" s="90" t="str">
        <f aca="false">Gov_Map!$H644&amp;""</f>
        <v>SRC_DEM_072</v>
      </c>
      <c r="B1400" s="71" t="s">
        <v>8333</v>
      </c>
      <c r="C1400" s="58" t="n">
        <v>644</v>
      </c>
      <c r="D1400" s="58" t="s">
        <v>8334</v>
      </c>
      <c r="E1400" s="58" t="s">
        <v>8334</v>
      </c>
      <c r="F1400" s="59" t="s">
        <v>608</v>
      </c>
    </row>
    <row r="1401" customFormat="false" ht="15" hidden="false" customHeight="false" outlineLevel="0" collapsed="false">
      <c r="A1401" s="90" t="str">
        <f aca="false">Gov_Map!$H645&amp;""</f>
        <v>SRC_DEM_072</v>
      </c>
      <c r="B1401" s="71" t="s">
        <v>8333</v>
      </c>
      <c r="C1401" s="58" t="n">
        <v>645</v>
      </c>
      <c r="D1401" s="58" t="s">
        <v>8334</v>
      </c>
      <c r="E1401" s="58" t="s">
        <v>8334</v>
      </c>
      <c r="F1401" s="59" t="s">
        <v>608</v>
      </c>
    </row>
    <row r="1402" customFormat="false" ht="15" hidden="false" customHeight="false" outlineLevel="0" collapsed="false">
      <c r="A1402" s="90" t="str">
        <f aca="false">Gov_Map!$H646&amp;""</f>
        <v>SRC_DEM_072</v>
      </c>
      <c r="B1402" s="71" t="s">
        <v>8333</v>
      </c>
      <c r="C1402" s="58" t="n">
        <v>646</v>
      </c>
      <c r="D1402" s="58" t="s">
        <v>8334</v>
      </c>
      <c r="E1402" s="58" t="s">
        <v>8334</v>
      </c>
      <c r="F1402" s="59" t="s">
        <v>608</v>
      </c>
    </row>
    <row r="1403" customFormat="false" ht="15" hidden="false" customHeight="false" outlineLevel="0" collapsed="false">
      <c r="A1403" s="90" t="str">
        <f aca="false">Gov_Map!$H647&amp;""</f>
        <v>—</v>
      </c>
      <c r="B1403" s="71" t="s">
        <v>8333</v>
      </c>
      <c r="C1403" s="58" t="n">
        <v>647</v>
      </c>
      <c r="D1403" s="58" t="s">
        <v>8334</v>
      </c>
      <c r="E1403" s="58" t="s">
        <v>8334</v>
      </c>
      <c r="F1403" s="59" t="s">
        <v>608</v>
      </c>
    </row>
    <row r="1404" customFormat="false" ht="15" hidden="false" customHeight="false" outlineLevel="0" collapsed="false">
      <c r="A1404" s="90" t="str">
        <f aca="false">Gov_Map!$H648&amp;""</f>
        <v>—</v>
      </c>
      <c r="B1404" s="71" t="s">
        <v>8333</v>
      </c>
      <c r="C1404" s="58" t="n">
        <v>648</v>
      </c>
      <c r="D1404" s="58" t="s">
        <v>8334</v>
      </c>
      <c r="E1404" s="58" t="s">
        <v>8334</v>
      </c>
      <c r="F1404" s="59" t="s">
        <v>608</v>
      </c>
    </row>
    <row r="1405" customFormat="false" ht="15" hidden="false" customHeight="false" outlineLevel="0" collapsed="false">
      <c r="A1405" s="90" t="str">
        <f aca="false">Gov_Map!$H649&amp;""</f>
        <v>—</v>
      </c>
      <c r="B1405" s="71" t="s">
        <v>8333</v>
      </c>
      <c r="C1405" s="58" t="n">
        <v>649</v>
      </c>
      <c r="D1405" s="58" t="s">
        <v>8334</v>
      </c>
      <c r="E1405" s="58" t="s">
        <v>8334</v>
      </c>
      <c r="F1405" s="59" t="s">
        <v>608</v>
      </c>
    </row>
    <row r="1406" customFormat="false" ht="15" hidden="false" customHeight="false" outlineLevel="0" collapsed="false">
      <c r="A1406" s="90" t="str">
        <f aca="false">Gov_Map!$H650&amp;""</f>
        <v>—</v>
      </c>
      <c r="B1406" s="71" t="s">
        <v>8333</v>
      </c>
      <c r="C1406" s="58" t="n">
        <v>650</v>
      </c>
      <c r="D1406" s="58" t="s">
        <v>8334</v>
      </c>
      <c r="E1406" s="58" t="s">
        <v>8334</v>
      </c>
      <c r="F1406" s="59" t="s">
        <v>608</v>
      </c>
    </row>
    <row r="1407" customFormat="false" ht="15" hidden="false" customHeight="false" outlineLevel="0" collapsed="false">
      <c r="A1407" s="90" t="str">
        <f aca="false">Gov_Map!$H651&amp;""</f>
        <v>—</v>
      </c>
      <c r="B1407" s="71" t="s">
        <v>8333</v>
      </c>
      <c r="C1407" s="58" t="n">
        <v>651</v>
      </c>
      <c r="D1407" s="58" t="s">
        <v>8334</v>
      </c>
      <c r="E1407" s="58" t="s">
        <v>8334</v>
      </c>
      <c r="F1407" s="59" t="s">
        <v>608</v>
      </c>
    </row>
    <row r="1408" customFormat="false" ht="15" hidden="false" customHeight="false" outlineLevel="0" collapsed="false">
      <c r="A1408" s="90" t="str">
        <f aca="false">Gov_Map!$H652&amp;""</f>
        <v>—</v>
      </c>
      <c r="B1408" s="71" t="s">
        <v>8333</v>
      </c>
      <c r="C1408" s="58" t="n">
        <v>652</v>
      </c>
      <c r="D1408" s="58" t="s">
        <v>8334</v>
      </c>
      <c r="E1408" s="58" t="s">
        <v>8334</v>
      </c>
      <c r="F1408" s="59" t="s">
        <v>608</v>
      </c>
    </row>
    <row r="1409" customFormat="false" ht="15" hidden="false" customHeight="false" outlineLevel="0" collapsed="false">
      <c r="A1409" s="90" t="str">
        <f aca="false">Gov_Map!$H653&amp;""</f>
        <v>—</v>
      </c>
      <c r="B1409" s="71" t="s">
        <v>8333</v>
      </c>
      <c r="C1409" s="58" t="n">
        <v>653</v>
      </c>
      <c r="D1409" s="58" t="s">
        <v>8334</v>
      </c>
      <c r="E1409" s="58" t="s">
        <v>8334</v>
      </c>
      <c r="F1409" s="59" t="s">
        <v>608</v>
      </c>
    </row>
    <row r="1410" customFormat="false" ht="15" hidden="false" customHeight="false" outlineLevel="0" collapsed="false">
      <c r="A1410" s="90" t="str">
        <f aca="false">Gov_Map!$H654&amp;""</f>
        <v>—</v>
      </c>
      <c r="B1410" s="71" t="s">
        <v>8333</v>
      </c>
      <c r="C1410" s="58" t="n">
        <v>654</v>
      </c>
      <c r="D1410" s="58" t="s">
        <v>8334</v>
      </c>
      <c r="E1410" s="58" t="s">
        <v>8334</v>
      </c>
      <c r="F1410" s="59" t="s">
        <v>608</v>
      </c>
    </row>
    <row r="1411" customFormat="false" ht="15" hidden="false" customHeight="false" outlineLevel="0" collapsed="false">
      <c r="A1411" s="90" t="str">
        <f aca="false">Gov_Map!$H655&amp;""</f>
        <v>—</v>
      </c>
      <c r="B1411" s="71" t="s">
        <v>8333</v>
      </c>
      <c r="C1411" s="58" t="n">
        <v>655</v>
      </c>
      <c r="D1411" s="58" t="s">
        <v>8334</v>
      </c>
      <c r="E1411" s="58" t="s">
        <v>8334</v>
      </c>
      <c r="F1411" s="59" t="s">
        <v>608</v>
      </c>
    </row>
    <row r="1412" customFormat="false" ht="15" hidden="false" customHeight="false" outlineLevel="0" collapsed="false">
      <c r="A1412" s="90" t="str">
        <f aca="false">Gov_Map!$H656&amp;""</f>
        <v/>
      </c>
      <c r="B1412" s="71" t="s">
        <v>8333</v>
      </c>
      <c r="C1412" s="58" t="n">
        <v>656</v>
      </c>
      <c r="D1412" s="58" t="s">
        <v>8334</v>
      </c>
      <c r="E1412" s="58" t="s">
        <v>8334</v>
      </c>
      <c r="F1412" s="59" t="s">
        <v>608</v>
      </c>
    </row>
    <row r="1413" customFormat="false" ht="15" hidden="false" customHeight="false" outlineLevel="0" collapsed="false">
      <c r="A1413" s="90" t="str">
        <f aca="false">Gov_Map!$H657&amp;""</f>
        <v/>
      </c>
      <c r="B1413" s="71" t="s">
        <v>8333</v>
      </c>
      <c r="C1413" s="58" t="n">
        <v>657</v>
      </c>
      <c r="D1413" s="58" t="s">
        <v>8334</v>
      </c>
      <c r="E1413" s="58" t="s">
        <v>8334</v>
      </c>
      <c r="F1413" s="59" t="s">
        <v>608</v>
      </c>
    </row>
    <row r="1414" customFormat="false" ht="15" hidden="false" customHeight="false" outlineLevel="0" collapsed="false">
      <c r="A1414" s="90" t="str">
        <f aca="false">Gov_Map!$H658&amp;""</f>
        <v/>
      </c>
      <c r="B1414" s="71" t="s">
        <v>8333</v>
      </c>
      <c r="C1414" s="58" t="n">
        <v>658</v>
      </c>
      <c r="D1414" s="58" t="s">
        <v>8334</v>
      </c>
      <c r="E1414" s="58" t="s">
        <v>8334</v>
      </c>
      <c r="F1414" s="59" t="s">
        <v>608</v>
      </c>
    </row>
    <row r="1415" customFormat="false" ht="15" hidden="false" customHeight="false" outlineLevel="0" collapsed="false">
      <c r="A1415" s="90" t="str">
        <f aca="false">Gov_Map!$H659&amp;""</f>
        <v/>
      </c>
      <c r="B1415" s="71" t="s">
        <v>8333</v>
      </c>
      <c r="C1415" s="58" t="n">
        <v>659</v>
      </c>
      <c r="D1415" s="58" t="s">
        <v>8334</v>
      </c>
      <c r="E1415" s="58" t="s">
        <v>8334</v>
      </c>
      <c r="F1415" s="59" t="s">
        <v>608</v>
      </c>
    </row>
    <row r="1416" customFormat="false" ht="15" hidden="false" customHeight="false" outlineLevel="0" collapsed="false">
      <c r="A1416" s="90" t="str">
        <f aca="false">Gov_Map!$H660&amp;""</f>
        <v/>
      </c>
      <c r="B1416" s="71" t="s">
        <v>8333</v>
      </c>
      <c r="C1416" s="58" t="n">
        <v>660</v>
      </c>
      <c r="D1416" s="58" t="s">
        <v>8334</v>
      </c>
      <c r="E1416" s="58" t="s">
        <v>8334</v>
      </c>
      <c r="F1416" s="59" t="s">
        <v>608</v>
      </c>
    </row>
    <row r="1417" customFormat="false" ht="15" hidden="false" customHeight="false" outlineLevel="0" collapsed="false">
      <c r="A1417" s="90" t="str">
        <f aca="false">Gov_Map!$H661&amp;""</f>
        <v/>
      </c>
      <c r="B1417" s="71" t="s">
        <v>8333</v>
      </c>
      <c r="C1417" s="58" t="n">
        <v>661</v>
      </c>
      <c r="D1417" s="58" t="s">
        <v>8334</v>
      </c>
      <c r="E1417" s="58" t="s">
        <v>8334</v>
      </c>
      <c r="F1417" s="59" t="s">
        <v>608</v>
      </c>
    </row>
    <row r="1418" customFormat="false" ht="15" hidden="false" customHeight="false" outlineLevel="0" collapsed="false">
      <c r="A1418" s="90" t="str">
        <f aca="false">Gov_Map!$H662&amp;""</f>
        <v/>
      </c>
      <c r="B1418" s="71" t="s">
        <v>8333</v>
      </c>
      <c r="C1418" s="58" t="n">
        <v>662</v>
      </c>
      <c r="D1418" s="58" t="s">
        <v>8334</v>
      </c>
      <c r="E1418" s="58" t="s">
        <v>8334</v>
      </c>
      <c r="F1418" s="59" t="s">
        <v>608</v>
      </c>
    </row>
    <row r="1419" customFormat="false" ht="15" hidden="false" customHeight="false" outlineLevel="0" collapsed="false">
      <c r="A1419" s="90" t="str">
        <f aca="false">Gov_Map!$H663&amp;""</f>
        <v/>
      </c>
      <c r="B1419" s="71" t="s">
        <v>8333</v>
      </c>
      <c r="C1419" s="58" t="n">
        <v>663</v>
      </c>
      <c r="D1419" s="58" t="s">
        <v>8334</v>
      </c>
      <c r="E1419" s="58" t="s">
        <v>8334</v>
      </c>
      <c r="F1419" s="59" t="s">
        <v>608</v>
      </c>
    </row>
    <row r="1420" customFormat="false" ht="15" hidden="false" customHeight="false" outlineLevel="0" collapsed="false">
      <c r="A1420" s="90" t="str">
        <f aca="false">Gov_Map!$H664&amp;""</f>
        <v/>
      </c>
      <c r="B1420" s="71" t="s">
        <v>8333</v>
      </c>
      <c r="C1420" s="58" t="n">
        <v>664</v>
      </c>
      <c r="D1420" s="58" t="s">
        <v>8334</v>
      </c>
      <c r="E1420" s="58" t="s">
        <v>8334</v>
      </c>
      <c r="F1420" s="59" t="s">
        <v>608</v>
      </c>
    </row>
    <row r="1421" customFormat="false" ht="15" hidden="false" customHeight="false" outlineLevel="0" collapsed="false">
      <c r="A1421" s="90" t="str">
        <f aca="false">Gov_Map!$H665&amp;""</f>
        <v/>
      </c>
      <c r="B1421" s="71" t="s">
        <v>8333</v>
      </c>
      <c r="C1421" s="58" t="n">
        <v>665</v>
      </c>
      <c r="D1421" s="58" t="s">
        <v>8334</v>
      </c>
      <c r="E1421" s="58" t="s">
        <v>8334</v>
      </c>
      <c r="F1421" s="59" t="s">
        <v>608</v>
      </c>
    </row>
    <row r="1422" customFormat="false" ht="15" hidden="false" customHeight="false" outlineLevel="0" collapsed="false">
      <c r="A1422" s="90" t="str">
        <f aca="false">Gov_Map!$H666&amp;""</f>
        <v/>
      </c>
      <c r="B1422" s="71" t="s">
        <v>8333</v>
      </c>
      <c r="C1422" s="58" t="n">
        <v>666</v>
      </c>
      <c r="D1422" s="58" t="s">
        <v>8334</v>
      </c>
      <c r="E1422" s="58" t="s">
        <v>8334</v>
      </c>
      <c r="F1422" s="59" t="s">
        <v>608</v>
      </c>
    </row>
    <row r="1423" customFormat="false" ht="15" hidden="false" customHeight="false" outlineLevel="0" collapsed="false">
      <c r="A1423" s="90" t="str">
        <f aca="false">Gov_Map!$H667&amp;""</f>
        <v/>
      </c>
      <c r="B1423" s="71" t="s">
        <v>8333</v>
      </c>
      <c r="C1423" s="58" t="n">
        <v>667</v>
      </c>
      <c r="D1423" s="58" t="s">
        <v>8334</v>
      </c>
      <c r="E1423" s="58" t="s">
        <v>8334</v>
      </c>
      <c r="F1423" s="59" t="s">
        <v>608</v>
      </c>
    </row>
    <row r="1424" customFormat="false" ht="15" hidden="false" customHeight="false" outlineLevel="0" collapsed="false">
      <c r="A1424" s="90" t="str">
        <f aca="false">Gov_Map!$H668&amp;""</f>
        <v/>
      </c>
      <c r="B1424" s="71" t="s">
        <v>8333</v>
      </c>
      <c r="C1424" s="58" t="n">
        <v>668</v>
      </c>
      <c r="D1424" s="58" t="s">
        <v>8334</v>
      </c>
      <c r="E1424" s="58" t="s">
        <v>8334</v>
      </c>
      <c r="F1424" s="59" t="s">
        <v>608</v>
      </c>
    </row>
    <row r="1425" customFormat="false" ht="15" hidden="false" customHeight="false" outlineLevel="0" collapsed="false">
      <c r="A1425" s="90" t="str">
        <f aca="false">Gov_Map!$H669&amp;""</f>
        <v/>
      </c>
      <c r="B1425" s="71" t="s">
        <v>8333</v>
      </c>
      <c r="C1425" s="58" t="n">
        <v>669</v>
      </c>
      <c r="D1425" s="58" t="s">
        <v>8334</v>
      </c>
      <c r="E1425" s="58" t="s">
        <v>8334</v>
      </c>
      <c r="F1425" s="59" t="s">
        <v>608</v>
      </c>
    </row>
    <row r="1426" customFormat="false" ht="15" hidden="false" customHeight="false" outlineLevel="0" collapsed="false">
      <c r="A1426" s="90" t="str">
        <f aca="false">Gov_Map!$H670&amp;""</f>
        <v/>
      </c>
      <c r="B1426" s="71" t="s">
        <v>8333</v>
      </c>
      <c r="C1426" s="58" t="n">
        <v>670</v>
      </c>
      <c r="D1426" s="58" t="s">
        <v>8334</v>
      </c>
      <c r="E1426" s="58" t="s">
        <v>8334</v>
      </c>
      <c r="F1426" s="59" t="s">
        <v>608</v>
      </c>
    </row>
    <row r="1427" customFormat="false" ht="15" hidden="false" customHeight="false" outlineLevel="0" collapsed="false">
      <c r="A1427" s="90" t="str">
        <f aca="false">Gov_Map!$H671&amp;""</f>
        <v/>
      </c>
      <c r="B1427" s="71" t="s">
        <v>8333</v>
      </c>
      <c r="C1427" s="58" t="n">
        <v>671</v>
      </c>
      <c r="D1427" s="58" t="s">
        <v>8334</v>
      </c>
      <c r="E1427" s="58" t="s">
        <v>8334</v>
      </c>
      <c r="F1427" s="59" t="s">
        <v>608</v>
      </c>
    </row>
    <row r="1428" customFormat="false" ht="15" hidden="false" customHeight="false" outlineLevel="0" collapsed="false">
      <c r="A1428" s="90" t="str">
        <f aca="false">Gov_Map!$H672&amp;""</f>
        <v/>
      </c>
      <c r="B1428" s="71" t="s">
        <v>8333</v>
      </c>
      <c r="C1428" s="58" t="n">
        <v>672</v>
      </c>
      <c r="D1428" s="58" t="s">
        <v>8334</v>
      </c>
      <c r="E1428" s="58" t="s">
        <v>8334</v>
      </c>
      <c r="F1428" s="59" t="s">
        <v>608</v>
      </c>
    </row>
    <row r="1429" customFormat="false" ht="15" hidden="false" customHeight="false" outlineLevel="0" collapsed="false">
      <c r="A1429" s="90" t="str">
        <f aca="false">Gov_Map!$H673&amp;""</f>
        <v/>
      </c>
      <c r="B1429" s="71" t="s">
        <v>8333</v>
      </c>
      <c r="C1429" s="58" t="n">
        <v>673</v>
      </c>
      <c r="D1429" s="58" t="s">
        <v>8334</v>
      </c>
      <c r="E1429" s="58" t="s">
        <v>8334</v>
      </c>
      <c r="F1429" s="59" t="s">
        <v>608</v>
      </c>
    </row>
    <row r="1430" customFormat="false" ht="15" hidden="false" customHeight="false" outlineLevel="0" collapsed="false">
      <c r="A1430" s="90" t="str">
        <f aca="false">Gov_Map!$H674&amp;""</f>
        <v/>
      </c>
      <c r="B1430" s="71" t="s">
        <v>8333</v>
      </c>
      <c r="C1430" s="58" t="n">
        <v>674</v>
      </c>
      <c r="D1430" s="58" t="s">
        <v>8334</v>
      </c>
      <c r="E1430" s="58" t="s">
        <v>8334</v>
      </c>
      <c r="F1430" s="59" t="s">
        <v>608</v>
      </c>
    </row>
    <row r="1431" customFormat="false" ht="15" hidden="false" customHeight="false" outlineLevel="0" collapsed="false">
      <c r="A1431" s="90" t="str">
        <f aca="false">Gov_Map!$H675&amp;""</f>
        <v/>
      </c>
      <c r="B1431" s="71" t="s">
        <v>8333</v>
      </c>
      <c r="C1431" s="58" t="n">
        <v>675</v>
      </c>
      <c r="D1431" s="58" t="s">
        <v>8334</v>
      </c>
      <c r="E1431" s="58" t="s">
        <v>8334</v>
      </c>
      <c r="F1431" s="59" t="s">
        <v>608</v>
      </c>
    </row>
    <row r="1432" customFormat="false" ht="15" hidden="false" customHeight="false" outlineLevel="0" collapsed="false">
      <c r="A1432" s="90" t="str">
        <f aca="false">Gov_Map!$H676&amp;""</f>
        <v/>
      </c>
      <c r="B1432" s="71" t="s">
        <v>8333</v>
      </c>
      <c r="C1432" s="58" t="n">
        <v>676</v>
      </c>
      <c r="D1432" s="58" t="s">
        <v>8334</v>
      </c>
      <c r="E1432" s="58" t="s">
        <v>8334</v>
      </c>
      <c r="F1432" s="59" t="s">
        <v>608</v>
      </c>
    </row>
    <row r="1433" customFormat="false" ht="15" hidden="false" customHeight="false" outlineLevel="0" collapsed="false">
      <c r="A1433" s="90" t="str">
        <f aca="false">Gov_Map!$H677&amp;""</f>
        <v/>
      </c>
      <c r="B1433" s="71" t="s">
        <v>8333</v>
      </c>
      <c r="C1433" s="58" t="n">
        <v>677</v>
      </c>
      <c r="D1433" s="58" t="s">
        <v>8334</v>
      </c>
      <c r="E1433" s="58" t="s">
        <v>8334</v>
      </c>
      <c r="F1433" s="59" t="s">
        <v>608</v>
      </c>
    </row>
    <row r="1434" customFormat="false" ht="15" hidden="false" customHeight="false" outlineLevel="0" collapsed="false">
      <c r="A1434" s="90" t="str">
        <f aca="false">Gov_Map!$H678&amp;""</f>
        <v/>
      </c>
      <c r="B1434" s="71" t="s">
        <v>8333</v>
      </c>
      <c r="C1434" s="58" t="n">
        <v>678</v>
      </c>
      <c r="D1434" s="58" t="s">
        <v>8334</v>
      </c>
      <c r="E1434" s="58" t="s">
        <v>8334</v>
      </c>
      <c r="F1434" s="59" t="s">
        <v>608</v>
      </c>
    </row>
    <row r="1435" customFormat="false" ht="15" hidden="false" customHeight="false" outlineLevel="0" collapsed="false">
      <c r="A1435" s="90" t="str">
        <f aca="false">Gov_Map!$H679&amp;""</f>
        <v/>
      </c>
      <c r="B1435" s="71" t="s">
        <v>8333</v>
      </c>
      <c r="C1435" s="58" t="n">
        <v>679</v>
      </c>
      <c r="D1435" s="58" t="s">
        <v>8334</v>
      </c>
      <c r="E1435" s="58" t="s">
        <v>8334</v>
      </c>
      <c r="F1435" s="59" t="s">
        <v>608</v>
      </c>
    </row>
    <row r="1436" customFormat="false" ht="15" hidden="false" customHeight="false" outlineLevel="0" collapsed="false">
      <c r="A1436" s="90" t="str">
        <f aca="false">Gov_Map!$H680&amp;""</f>
        <v/>
      </c>
      <c r="B1436" s="71" t="s">
        <v>8333</v>
      </c>
      <c r="C1436" s="58" t="n">
        <v>680</v>
      </c>
      <c r="D1436" s="58" t="s">
        <v>8334</v>
      </c>
      <c r="E1436" s="58" t="s">
        <v>8334</v>
      </c>
      <c r="F1436" s="59" t="s">
        <v>608</v>
      </c>
    </row>
    <row r="1437" customFormat="false" ht="15" hidden="false" customHeight="false" outlineLevel="0" collapsed="false">
      <c r="A1437" s="90" t="str">
        <f aca="false">Gov_Map!$H681&amp;""</f>
        <v/>
      </c>
      <c r="B1437" s="71" t="s">
        <v>8333</v>
      </c>
      <c r="C1437" s="58" t="n">
        <v>681</v>
      </c>
      <c r="D1437" s="58" t="s">
        <v>8334</v>
      </c>
      <c r="E1437" s="58" t="s">
        <v>8334</v>
      </c>
      <c r="F1437" s="59" t="s">
        <v>608</v>
      </c>
    </row>
    <row r="1438" customFormat="false" ht="15" hidden="false" customHeight="false" outlineLevel="0" collapsed="false">
      <c r="A1438" s="90" t="str">
        <f aca="false">Gov_Map!$H682&amp;""</f>
        <v/>
      </c>
      <c r="B1438" s="71" t="s">
        <v>8333</v>
      </c>
      <c r="C1438" s="58" t="n">
        <v>682</v>
      </c>
      <c r="D1438" s="58" t="s">
        <v>8334</v>
      </c>
      <c r="E1438" s="58" t="s">
        <v>8334</v>
      </c>
      <c r="F1438" s="59" t="s">
        <v>608</v>
      </c>
    </row>
    <row r="1439" customFormat="false" ht="15" hidden="false" customHeight="false" outlineLevel="0" collapsed="false">
      <c r="A1439" s="90" t="str">
        <f aca="false">Gov_Map!$H683&amp;""</f>
        <v/>
      </c>
      <c r="B1439" s="71" t="s">
        <v>8333</v>
      </c>
      <c r="C1439" s="58" t="n">
        <v>683</v>
      </c>
      <c r="D1439" s="58" t="s">
        <v>8334</v>
      </c>
      <c r="E1439" s="58" t="s">
        <v>8334</v>
      </c>
      <c r="F1439" s="59" t="s">
        <v>608</v>
      </c>
    </row>
    <row r="1440" customFormat="false" ht="15" hidden="false" customHeight="false" outlineLevel="0" collapsed="false">
      <c r="A1440" s="90" t="str">
        <f aca="false">Gov_Map!$H684&amp;""</f>
        <v/>
      </c>
      <c r="B1440" s="71" t="s">
        <v>8333</v>
      </c>
      <c r="C1440" s="58" t="n">
        <v>684</v>
      </c>
      <c r="D1440" s="58" t="s">
        <v>8334</v>
      </c>
      <c r="E1440" s="58" t="s">
        <v>8334</v>
      </c>
      <c r="F1440" s="59" t="s">
        <v>608</v>
      </c>
    </row>
    <row r="1441" customFormat="false" ht="15" hidden="false" customHeight="false" outlineLevel="0" collapsed="false">
      <c r="A1441" s="90" t="str">
        <f aca="false">Gov_Map!$H685&amp;""</f>
        <v/>
      </c>
      <c r="B1441" s="71" t="s">
        <v>8333</v>
      </c>
      <c r="C1441" s="58" t="n">
        <v>685</v>
      </c>
      <c r="D1441" s="58" t="s">
        <v>8334</v>
      </c>
      <c r="E1441" s="58" t="s">
        <v>8334</v>
      </c>
      <c r="F1441" s="59" t="s">
        <v>608</v>
      </c>
    </row>
    <row r="1442" customFormat="false" ht="15" hidden="false" customHeight="false" outlineLevel="0" collapsed="false">
      <c r="A1442" s="90" t="str">
        <f aca="false">Gov_Map!$H686&amp;""</f>
        <v/>
      </c>
      <c r="B1442" s="71" t="s">
        <v>8333</v>
      </c>
      <c r="C1442" s="58" t="n">
        <v>686</v>
      </c>
      <c r="D1442" s="58" t="s">
        <v>8334</v>
      </c>
      <c r="E1442" s="58" t="s">
        <v>8334</v>
      </c>
      <c r="F1442" s="59" t="s">
        <v>608</v>
      </c>
    </row>
    <row r="1443" customFormat="false" ht="15" hidden="false" customHeight="false" outlineLevel="0" collapsed="false">
      <c r="A1443" s="90" t="str">
        <f aca="false">Gov_Map!$H687&amp;""</f>
        <v/>
      </c>
      <c r="B1443" s="71" t="s">
        <v>8333</v>
      </c>
      <c r="C1443" s="58" t="n">
        <v>687</v>
      </c>
      <c r="D1443" s="58" t="s">
        <v>8334</v>
      </c>
      <c r="E1443" s="58" t="s">
        <v>8334</v>
      </c>
      <c r="F1443" s="59" t="s">
        <v>608</v>
      </c>
    </row>
    <row r="1444" customFormat="false" ht="15" hidden="false" customHeight="false" outlineLevel="0" collapsed="false">
      <c r="A1444" s="90" t="str">
        <f aca="false">Gov_Map!$H688&amp;""</f>
        <v/>
      </c>
      <c r="B1444" s="71" t="s">
        <v>8333</v>
      </c>
      <c r="C1444" s="58" t="n">
        <v>688</v>
      </c>
      <c r="D1444" s="58" t="s">
        <v>8334</v>
      </c>
      <c r="E1444" s="58" t="s">
        <v>8334</v>
      </c>
      <c r="F1444" s="59" t="s">
        <v>608</v>
      </c>
    </row>
    <row r="1445" customFormat="false" ht="15" hidden="false" customHeight="false" outlineLevel="0" collapsed="false">
      <c r="A1445" s="90" t="str">
        <f aca="false">Gov_Map!$H689&amp;""</f>
        <v/>
      </c>
      <c r="B1445" s="71" t="s">
        <v>8333</v>
      </c>
      <c r="C1445" s="58" t="n">
        <v>689</v>
      </c>
      <c r="D1445" s="58" t="s">
        <v>8334</v>
      </c>
      <c r="E1445" s="58" t="s">
        <v>8334</v>
      </c>
      <c r="F1445" s="59" t="s">
        <v>608</v>
      </c>
    </row>
    <row r="1446" customFormat="false" ht="15" hidden="false" customHeight="false" outlineLevel="0" collapsed="false">
      <c r="A1446" s="90" t="str">
        <f aca="false">Gov_Map!$H690&amp;""</f>
        <v/>
      </c>
      <c r="B1446" s="71" t="s">
        <v>8333</v>
      </c>
      <c r="C1446" s="58" t="n">
        <v>690</v>
      </c>
      <c r="D1446" s="58" t="s">
        <v>8334</v>
      </c>
      <c r="E1446" s="58" t="s">
        <v>8334</v>
      </c>
      <c r="F1446" s="59" t="s">
        <v>608</v>
      </c>
    </row>
    <row r="1447" customFormat="false" ht="15" hidden="false" customHeight="false" outlineLevel="0" collapsed="false">
      <c r="A1447" s="90" t="str">
        <f aca="false">Gov_Map!$H691&amp;""</f>
        <v/>
      </c>
      <c r="B1447" s="71" t="s">
        <v>8333</v>
      </c>
      <c r="C1447" s="58" t="n">
        <v>691</v>
      </c>
      <c r="D1447" s="58" t="s">
        <v>8334</v>
      </c>
      <c r="E1447" s="58" t="s">
        <v>8334</v>
      </c>
      <c r="F1447" s="59" t="s">
        <v>608</v>
      </c>
    </row>
    <row r="1448" customFormat="false" ht="15" hidden="false" customHeight="false" outlineLevel="0" collapsed="false">
      <c r="A1448" s="90" t="str">
        <f aca="false">Gov_Map!$H692&amp;""</f>
        <v/>
      </c>
      <c r="B1448" s="71" t="s">
        <v>8333</v>
      </c>
      <c r="C1448" s="58" t="n">
        <v>692</v>
      </c>
      <c r="D1448" s="58" t="s">
        <v>8334</v>
      </c>
      <c r="E1448" s="58" t="s">
        <v>8334</v>
      </c>
      <c r="F1448" s="59" t="s">
        <v>608</v>
      </c>
    </row>
    <row r="1449" customFormat="false" ht="15" hidden="false" customHeight="false" outlineLevel="0" collapsed="false">
      <c r="A1449" s="90" t="str">
        <f aca="false">Gov_Map!$H693&amp;""</f>
        <v/>
      </c>
      <c r="B1449" s="71" t="s">
        <v>8333</v>
      </c>
      <c r="C1449" s="58" t="n">
        <v>693</v>
      </c>
      <c r="D1449" s="58" t="s">
        <v>8334</v>
      </c>
      <c r="E1449" s="58" t="s">
        <v>8334</v>
      </c>
      <c r="F1449" s="59" t="s">
        <v>608</v>
      </c>
    </row>
    <row r="1450" customFormat="false" ht="15" hidden="false" customHeight="false" outlineLevel="0" collapsed="false">
      <c r="A1450" s="90" t="str">
        <f aca="false">Gov_Map!$H694&amp;""</f>
        <v/>
      </c>
      <c r="B1450" s="71" t="s">
        <v>8333</v>
      </c>
      <c r="C1450" s="58" t="n">
        <v>694</v>
      </c>
      <c r="D1450" s="58" t="s">
        <v>8334</v>
      </c>
      <c r="E1450" s="58" t="s">
        <v>8334</v>
      </c>
      <c r="F1450" s="59" t="s">
        <v>608</v>
      </c>
    </row>
    <row r="1451" customFormat="false" ht="15" hidden="false" customHeight="false" outlineLevel="0" collapsed="false">
      <c r="A1451" s="90" t="str">
        <f aca="false">Gov_Map!$H695&amp;""</f>
        <v/>
      </c>
      <c r="B1451" s="71" t="s">
        <v>8333</v>
      </c>
      <c r="C1451" s="58" t="n">
        <v>695</v>
      </c>
      <c r="D1451" s="58" t="s">
        <v>8334</v>
      </c>
      <c r="E1451" s="58" t="s">
        <v>8334</v>
      </c>
      <c r="F1451" s="59" t="s">
        <v>608</v>
      </c>
    </row>
    <row r="1452" customFormat="false" ht="15" hidden="false" customHeight="false" outlineLevel="0" collapsed="false">
      <c r="A1452" s="90" t="str">
        <f aca="false">Gov_Map!$H696&amp;""</f>
        <v/>
      </c>
      <c r="B1452" s="71" t="s">
        <v>8333</v>
      </c>
      <c r="C1452" s="58" t="n">
        <v>696</v>
      </c>
      <c r="D1452" s="58" t="s">
        <v>8334</v>
      </c>
      <c r="E1452" s="58" t="s">
        <v>8334</v>
      </c>
      <c r="F1452" s="59" t="s">
        <v>608</v>
      </c>
    </row>
    <row r="1453" customFormat="false" ht="15" hidden="false" customHeight="false" outlineLevel="0" collapsed="false">
      <c r="A1453" s="90" t="str">
        <f aca="false">Gov_Map!$H697&amp;""</f>
        <v/>
      </c>
      <c r="B1453" s="71" t="s">
        <v>8333</v>
      </c>
      <c r="C1453" s="58" t="n">
        <v>697</v>
      </c>
      <c r="D1453" s="58" t="s">
        <v>8334</v>
      </c>
      <c r="E1453" s="58" t="s">
        <v>8334</v>
      </c>
      <c r="F1453" s="59" t="s">
        <v>608</v>
      </c>
    </row>
    <row r="1454" customFormat="false" ht="15" hidden="false" customHeight="false" outlineLevel="0" collapsed="false">
      <c r="A1454" s="90" t="str">
        <f aca="false">Gov_Map!$H698&amp;""</f>
        <v/>
      </c>
      <c r="B1454" s="71" t="s">
        <v>8333</v>
      </c>
      <c r="C1454" s="58" t="n">
        <v>698</v>
      </c>
      <c r="D1454" s="58" t="s">
        <v>8334</v>
      </c>
      <c r="E1454" s="58" t="s">
        <v>8334</v>
      </c>
      <c r="F1454" s="59" t="s">
        <v>608</v>
      </c>
    </row>
    <row r="1455" customFormat="false" ht="15" hidden="false" customHeight="false" outlineLevel="0" collapsed="false">
      <c r="A1455" s="90" t="str">
        <f aca="false">Gov_Map!$H699&amp;""</f>
        <v/>
      </c>
      <c r="B1455" s="71" t="s">
        <v>8333</v>
      </c>
      <c r="C1455" s="58" t="n">
        <v>699</v>
      </c>
      <c r="D1455" s="58" t="s">
        <v>8334</v>
      </c>
      <c r="E1455" s="58" t="s">
        <v>8334</v>
      </c>
      <c r="F1455" s="59" t="s">
        <v>608</v>
      </c>
    </row>
    <row r="1456" customFormat="false" ht="15" hidden="false" customHeight="false" outlineLevel="0" collapsed="false">
      <c r="A1456" s="90" t="str">
        <f aca="false">Gov_Map!$H700&amp;""</f>
        <v/>
      </c>
      <c r="B1456" s="71" t="s">
        <v>8333</v>
      </c>
      <c r="C1456" s="58" t="n">
        <v>700</v>
      </c>
      <c r="D1456" s="58" t="s">
        <v>8334</v>
      </c>
      <c r="E1456" s="58" t="s">
        <v>8334</v>
      </c>
      <c r="F1456" s="59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8335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2" t="s">
        <v>587</v>
      </c>
      <c r="B3" s="12" t="s">
        <v>357</v>
      </c>
      <c r="C3" s="12" t="s">
        <v>8336</v>
      </c>
      <c r="D3" s="12" t="s">
        <v>81</v>
      </c>
      <c r="E3" s="12" t="s">
        <v>5740</v>
      </c>
      <c r="F3" s="12" t="s">
        <v>451</v>
      </c>
      <c r="G3" s="12" t="s">
        <v>8337</v>
      </c>
    </row>
    <row r="4" customFormat="false" ht="29.25" hidden="false" customHeight="true" outlineLevel="0" collapsed="false">
      <c r="A4" s="15" t="s">
        <v>6037</v>
      </c>
      <c r="B4" s="15" t="s">
        <v>8338</v>
      </c>
      <c r="C4" s="19" t="s">
        <v>8339</v>
      </c>
      <c r="D4" s="15" t="s">
        <v>129</v>
      </c>
      <c r="E4" s="15" t="s">
        <v>6459</v>
      </c>
      <c r="F4" s="6" t="s">
        <v>6460</v>
      </c>
      <c r="G4" s="20" t="s">
        <v>8340</v>
      </c>
    </row>
    <row r="5" customFormat="false" ht="15" hidden="false" customHeight="true" outlineLevel="0" collapsed="false">
      <c r="A5" s="15" t="s">
        <v>6046</v>
      </c>
      <c r="B5" s="15" t="s">
        <v>8341</v>
      </c>
      <c r="C5" s="19" t="s">
        <v>8342</v>
      </c>
      <c r="D5" s="15" t="s">
        <v>98</v>
      </c>
      <c r="E5" s="15" t="s">
        <v>6471</v>
      </c>
      <c r="F5" s="6" t="s">
        <v>6472</v>
      </c>
      <c r="G5" s="20" t="s">
        <v>8340</v>
      </c>
    </row>
    <row r="6" customFormat="false" ht="15" hidden="false" customHeight="true" outlineLevel="0" collapsed="false">
      <c r="A6" s="15" t="s">
        <v>6489</v>
      </c>
      <c r="B6" s="15" t="s">
        <v>8343</v>
      </c>
      <c r="C6" s="6" t="s">
        <v>8344</v>
      </c>
      <c r="D6" s="15" t="s">
        <v>206</v>
      </c>
      <c r="E6" s="15" t="s">
        <v>6485</v>
      </c>
      <c r="F6" s="6" t="s">
        <v>6494</v>
      </c>
      <c r="G6" s="20" t="s">
        <v>8340</v>
      </c>
    </row>
    <row r="7" customFormat="false" ht="15" hidden="false" customHeight="true" outlineLevel="0" collapsed="false">
      <c r="A7" s="15" t="s">
        <v>6505</v>
      </c>
      <c r="B7" s="15" t="s">
        <v>8345</v>
      </c>
      <c r="C7" s="6" t="s">
        <v>8346</v>
      </c>
      <c r="D7" s="15" t="s">
        <v>206</v>
      </c>
      <c r="E7" s="15" t="s">
        <v>6501</v>
      </c>
      <c r="F7" s="6" t="s">
        <v>6502</v>
      </c>
      <c r="G7" s="20" t="s">
        <v>8340</v>
      </c>
    </row>
    <row r="8" customFormat="false" ht="15" hidden="false" customHeight="true" outlineLevel="0" collapsed="false">
      <c r="A8" s="15" t="s">
        <v>6524</v>
      </c>
      <c r="B8" s="15" t="s">
        <v>8347</v>
      </c>
      <c r="C8" s="6" t="s">
        <v>8348</v>
      </c>
      <c r="D8" s="15" t="s">
        <v>206</v>
      </c>
      <c r="E8" s="15" t="s">
        <v>1214</v>
      </c>
      <c r="F8" s="6" t="s">
        <v>6521</v>
      </c>
      <c r="G8" s="20" t="s">
        <v>8340</v>
      </c>
    </row>
    <row r="9" customFormat="false" ht="15" hidden="false" customHeight="true" outlineLevel="0" collapsed="false">
      <c r="A9" s="15" t="s">
        <v>6531</v>
      </c>
      <c r="B9" s="15" t="s">
        <v>8349</v>
      </c>
      <c r="C9" s="6" t="s">
        <v>8350</v>
      </c>
      <c r="D9" s="15" t="s">
        <v>206</v>
      </c>
      <c r="E9" s="15" t="s">
        <v>1214</v>
      </c>
      <c r="F9" s="6" t="s">
        <v>8351</v>
      </c>
      <c r="G9" s="20" t="s">
        <v>8340</v>
      </c>
    </row>
    <row r="10" customFormat="false" ht="29.25" hidden="false" customHeight="true" outlineLevel="0" collapsed="false">
      <c r="A10" s="15" t="s">
        <v>6539</v>
      </c>
      <c r="B10" s="15" t="s">
        <v>8352</v>
      </c>
      <c r="C10" s="6" t="s">
        <v>8353</v>
      </c>
      <c r="D10" s="15" t="s">
        <v>206</v>
      </c>
      <c r="E10" s="15" t="s">
        <v>6471</v>
      </c>
      <c r="F10" s="6" t="s">
        <v>6544</v>
      </c>
      <c r="G10" s="20" t="s">
        <v>8340</v>
      </c>
    </row>
    <row r="11" customFormat="false" ht="15" hidden="false" customHeight="true" outlineLevel="0" collapsed="false">
      <c r="A11" s="15" t="s">
        <v>6561</v>
      </c>
      <c r="B11" s="15" t="s">
        <v>6555</v>
      </c>
      <c r="C11" s="6" t="s">
        <v>8354</v>
      </c>
      <c r="D11" s="15" t="s">
        <v>206</v>
      </c>
      <c r="E11" s="15" t="s">
        <v>1211</v>
      </c>
      <c r="F11" s="6" t="s">
        <v>8355</v>
      </c>
      <c r="G11" s="20" t="s">
        <v>8340</v>
      </c>
    </row>
    <row r="12" customFormat="false" ht="15" hidden="false" customHeight="true" outlineLevel="0" collapsed="false">
      <c r="A12" s="15" t="s">
        <v>6571</v>
      </c>
      <c r="B12" s="15" t="s">
        <v>8356</v>
      </c>
      <c r="C12" s="6" t="s">
        <v>8357</v>
      </c>
      <c r="D12" s="15" t="s">
        <v>206</v>
      </c>
      <c r="E12" s="15" t="s">
        <v>8358</v>
      </c>
      <c r="F12" s="6" t="s">
        <v>6567</v>
      </c>
      <c r="G12" s="20" t="s">
        <v>8340</v>
      </c>
    </row>
    <row r="13" customFormat="false" ht="15" hidden="false" customHeight="true" outlineLevel="0" collapsed="false">
      <c r="A13" s="15" t="s">
        <v>6830</v>
      </c>
      <c r="B13" s="20" t="s">
        <v>8359</v>
      </c>
      <c r="C13" s="6" t="s">
        <v>8360</v>
      </c>
      <c r="D13" s="15" t="s">
        <v>98</v>
      </c>
      <c r="E13" s="15" t="s">
        <v>6471</v>
      </c>
      <c r="F13" s="6" t="s">
        <v>6827</v>
      </c>
      <c r="G13" s="20" t="s">
        <v>8340</v>
      </c>
    </row>
    <row r="14" customFormat="false" ht="15" hidden="false" customHeight="true" outlineLevel="0" collapsed="false">
      <c r="A14" s="15" t="s">
        <v>6592</v>
      </c>
      <c r="B14" s="15" t="s">
        <v>8361</v>
      </c>
      <c r="C14" s="19" t="s">
        <v>8362</v>
      </c>
      <c r="D14" s="15" t="s">
        <v>206</v>
      </c>
      <c r="E14" s="15" t="s">
        <v>6471</v>
      </c>
      <c r="F14" s="6" t="s">
        <v>6589</v>
      </c>
      <c r="G14" s="20" t="s">
        <v>8363</v>
      </c>
    </row>
    <row r="15" customFormat="false" ht="29.25" hidden="false" customHeight="true" outlineLevel="0" collapsed="false">
      <c r="A15" s="15" t="s">
        <v>6842</v>
      </c>
      <c r="B15" s="20" t="s">
        <v>8364</v>
      </c>
      <c r="C15" s="6" t="s">
        <v>8365</v>
      </c>
      <c r="D15" s="15" t="s">
        <v>98</v>
      </c>
      <c r="E15" s="15" t="s">
        <v>6471</v>
      </c>
      <c r="F15" s="6" t="s">
        <v>6840</v>
      </c>
      <c r="G15" s="20" t="s">
        <v>8340</v>
      </c>
    </row>
    <row r="16" customFormat="false" ht="26.25" hidden="false" customHeight="true" outlineLevel="0" collapsed="false">
      <c r="A16" s="15" t="s">
        <v>6855</v>
      </c>
      <c r="B16" s="20" t="s">
        <v>8366</v>
      </c>
      <c r="C16" s="6" t="s">
        <v>8367</v>
      </c>
      <c r="D16" s="15" t="s">
        <v>129</v>
      </c>
      <c r="E16" s="15" t="s">
        <v>6566</v>
      </c>
      <c r="F16" s="6" t="s">
        <v>6852</v>
      </c>
      <c r="G16" s="20" t="s">
        <v>8368</v>
      </c>
    </row>
    <row r="17" customFormat="false" ht="15" hidden="false" customHeight="true" outlineLevel="0" collapsed="false">
      <c r="A17" s="15" t="s">
        <v>8369</v>
      </c>
      <c r="B17" s="15" t="s">
        <v>96</v>
      </c>
      <c r="C17" s="19" t="s">
        <v>8370</v>
      </c>
      <c r="D17" s="15" t="s">
        <v>98</v>
      </c>
      <c r="E17" s="15" t="s">
        <v>608</v>
      </c>
      <c r="F17" s="6" t="s">
        <v>8371</v>
      </c>
      <c r="G17" s="20" t="s">
        <v>8340</v>
      </c>
    </row>
    <row r="18" customFormat="false" ht="29.25" hidden="false" customHeight="true" outlineLevel="0" collapsed="false">
      <c r="A18" s="15" t="s">
        <v>6864</v>
      </c>
      <c r="B18" s="15" t="s">
        <v>8372</v>
      </c>
      <c r="C18" s="6" t="s">
        <v>8373</v>
      </c>
      <c r="D18" s="15" t="s">
        <v>129</v>
      </c>
      <c r="E18" s="15" t="s">
        <v>6596</v>
      </c>
      <c r="F18" s="6" t="s">
        <v>6862</v>
      </c>
      <c r="G18" s="20" t="s">
        <v>8374</v>
      </c>
    </row>
    <row r="19" customFormat="false" ht="15" hidden="false" customHeight="true" outlineLevel="0" collapsed="false">
      <c r="A19" s="15" t="s">
        <v>6879</v>
      </c>
      <c r="B19" s="20" t="s">
        <v>8375</v>
      </c>
      <c r="C19" s="19" t="s">
        <v>8376</v>
      </c>
      <c r="D19" s="15" t="s">
        <v>206</v>
      </c>
      <c r="E19" s="15" t="s">
        <v>6875</v>
      </c>
      <c r="F19" s="6" t="s">
        <v>6876</v>
      </c>
      <c r="G19" s="20" t="s">
        <v>8377</v>
      </c>
    </row>
    <row r="20" customFormat="false" ht="15" hidden="false" customHeight="true" outlineLevel="0" collapsed="false">
      <c r="A20" s="15" t="s">
        <v>6889</v>
      </c>
      <c r="B20" s="15" t="s">
        <v>8378</v>
      </c>
      <c r="C20" s="6" t="s">
        <v>8379</v>
      </c>
      <c r="D20" s="15" t="s">
        <v>206</v>
      </c>
      <c r="E20" s="15" t="s">
        <v>6566</v>
      </c>
      <c r="F20" s="6" t="s">
        <v>6885</v>
      </c>
      <c r="G20" s="20" t="s">
        <v>6884</v>
      </c>
    </row>
    <row r="21" customFormat="false" ht="15" hidden="false" customHeight="true" outlineLevel="0" collapsed="false">
      <c r="A21" s="15" t="s">
        <v>7509</v>
      </c>
      <c r="B21" s="15" t="s">
        <v>8380</v>
      </c>
      <c r="C21" s="6" t="s">
        <v>8381</v>
      </c>
      <c r="D21" s="15" t="s">
        <v>129</v>
      </c>
      <c r="E21" s="15" t="s">
        <v>6566</v>
      </c>
      <c r="F21" s="6" t="s">
        <v>7506</v>
      </c>
      <c r="G21" s="20" t="s">
        <v>8340</v>
      </c>
    </row>
    <row r="22" customFormat="false" ht="15" hidden="false" customHeight="true" outlineLevel="0" collapsed="false">
      <c r="A22" s="15" t="s">
        <v>7519</v>
      </c>
      <c r="B22" s="20" t="s">
        <v>8382</v>
      </c>
      <c r="C22" s="6" t="s">
        <v>8383</v>
      </c>
      <c r="D22" s="15" t="s">
        <v>141</v>
      </c>
      <c r="E22" s="15" t="s">
        <v>1211</v>
      </c>
      <c r="F22" s="6" t="s">
        <v>7515</v>
      </c>
      <c r="G22" s="20" t="s">
        <v>7514</v>
      </c>
    </row>
    <row r="23" customFormat="false" ht="54.75" hidden="false" customHeight="true" outlineLevel="0" collapsed="false">
      <c r="A23" s="6" t="s">
        <v>454</v>
      </c>
      <c r="B23" s="6" t="s">
        <v>8384</v>
      </c>
      <c r="C23" s="6" t="s">
        <v>8385</v>
      </c>
      <c r="D23" s="6" t="s">
        <v>8386</v>
      </c>
      <c r="E23" s="6" t="s">
        <v>6566</v>
      </c>
      <c r="F23" s="6" t="s">
        <v>7219</v>
      </c>
      <c r="G23" s="5" t="s">
        <v>8387</v>
      </c>
    </row>
    <row r="24" customFormat="false" ht="43.5" hidden="false" customHeight="true" outlineLevel="0" collapsed="false">
      <c r="A24" s="6" t="s">
        <v>453</v>
      </c>
      <c r="B24" s="6" t="s">
        <v>8388</v>
      </c>
      <c r="C24" s="6" t="s">
        <v>8389</v>
      </c>
      <c r="D24" s="6" t="s">
        <v>8390</v>
      </c>
      <c r="E24" s="6" t="s">
        <v>7233</v>
      </c>
      <c r="F24" s="6" t="s">
        <v>7234</v>
      </c>
      <c r="G24" s="5" t="s">
        <v>8391</v>
      </c>
    </row>
    <row r="25" customFormat="false" ht="29.25" hidden="false" customHeight="true" outlineLevel="0" collapsed="false">
      <c r="A25" s="6" t="s">
        <v>452</v>
      </c>
      <c r="B25" s="6" t="s">
        <v>8392</v>
      </c>
      <c r="C25" s="6" t="s">
        <v>8393</v>
      </c>
      <c r="D25" s="6" t="s">
        <v>8394</v>
      </c>
      <c r="E25" s="5" t="s">
        <v>8395</v>
      </c>
      <c r="F25" s="6" t="s">
        <v>7257</v>
      </c>
      <c r="G25" s="5" t="s">
        <v>8396</v>
      </c>
    </row>
    <row r="26" customFormat="false" ht="29.25" hidden="false" customHeight="true" outlineLevel="0" collapsed="false">
      <c r="A26" s="6" t="s">
        <v>455</v>
      </c>
      <c r="B26" s="6" t="s">
        <v>8397</v>
      </c>
      <c r="C26" s="6" t="s">
        <v>8398</v>
      </c>
      <c r="D26" s="6" t="s">
        <v>8399</v>
      </c>
      <c r="E26" s="6" t="s">
        <v>7279</v>
      </c>
      <c r="F26" s="6" t="s">
        <v>7280</v>
      </c>
      <c r="G26" s="5" t="s">
        <v>8400</v>
      </c>
    </row>
    <row r="27" customFormat="false" ht="29.25" hidden="false" customHeight="true" outlineLevel="0" collapsed="false">
      <c r="A27" s="6" t="s">
        <v>7293</v>
      </c>
      <c r="B27" s="6" t="s">
        <v>8401</v>
      </c>
      <c r="C27" s="6" t="s">
        <v>8402</v>
      </c>
      <c r="D27" s="6" t="s">
        <v>8399</v>
      </c>
      <c r="E27" s="6" t="s">
        <v>1214</v>
      </c>
      <c r="F27" s="6" t="s">
        <v>7290</v>
      </c>
      <c r="G27" s="5" t="s">
        <v>8403</v>
      </c>
    </row>
    <row r="28" customFormat="false" ht="29.25" hidden="false" customHeight="true" outlineLevel="0" collapsed="false">
      <c r="A28" s="6" t="s">
        <v>7770</v>
      </c>
      <c r="B28" s="6" t="s">
        <v>8404</v>
      </c>
      <c r="C28" s="6" t="s">
        <v>8405</v>
      </c>
      <c r="D28" s="6" t="s">
        <v>8406</v>
      </c>
      <c r="E28" s="6" t="s">
        <v>7053</v>
      </c>
      <c r="F28" s="6" t="s">
        <v>7767</v>
      </c>
      <c r="G28" s="5" t="s">
        <v>8407</v>
      </c>
    </row>
    <row r="29" customFormat="false" ht="54.75" hidden="false" customHeight="true" outlineLevel="0" collapsed="false">
      <c r="A29" s="6" t="s">
        <v>7304</v>
      </c>
      <c r="B29" s="6" t="s">
        <v>8408</v>
      </c>
      <c r="C29" s="6" t="s">
        <v>8409</v>
      </c>
      <c r="D29" s="6" t="s">
        <v>8410</v>
      </c>
      <c r="E29" s="6" t="s">
        <v>1211</v>
      </c>
      <c r="F29" s="6" t="s">
        <v>7301</v>
      </c>
      <c r="G29" s="5" t="s">
        <v>8411</v>
      </c>
    </row>
    <row r="30" customFormat="false" ht="29.25" hidden="false" customHeight="true" outlineLevel="0" collapsed="false">
      <c r="A30" s="6" t="s">
        <v>3561</v>
      </c>
      <c r="B30" s="6" t="s">
        <v>8412</v>
      </c>
      <c r="C30" s="6" t="s">
        <v>8413</v>
      </c>
      <c r="D30" s="6" t="s">
        <v>129</v>
      </c>
      <c r="E30" s="6" t="s">
        <v>6471</v>
      </c>
      <c r="F30" s="6" t="s">
        <v>6933</v>
      </c>
      <c r="G30" s="5" t="s">
        <v>8414</v>
      </c>
    </row>
    <row r="31" customFormat="false" ht="43.5" hidden="false" customHeight="true" outlineLevel="0" collapsed="false">
      <c r="A31" s="6" t="s">
        <v>6601</v>
      </c>
      <c r="B31" s="6" t="s">
        <v>8415</v>
      </c>
      <c r="C31" s="6" t="s">
        <v>8416</v>
      </c>
      <c r="D31" s="6" t="s">
        <v>8417</v>
      </c>
      <c r="E31" s="6" t="s">
        <v>6596</v>
      </c>
      <c r="F31" s="5" t="s">
        <v>6597</v>
      </c>
      <c r="G31" s="5" t="s">
        <v>8418</v>
      </c>
    </row>
    <row r="32" customFormat="false" ht="15" hidden="false" customHeight="true" outlineLevel="0" collapsed="false">
      <c r="A32" s="6" t="s">
        <v>6650</v>
      </c>
      <c r="B32" s="5" t="s">
        <v>8419</v>
      </c>
      <c r="C32" s="6" t="s">
        <v>8420</v>
      </c>
      <c r="D32" s="6" t="s">
        <v>98</v>
      </c>
      <c r="E32" s="6" t="s">
        <v>608</v>
      </c>
      <c r="F32" s="5" t="s">
        <v>6647</v>
      </c>
      <c r="G32" s="5" t="s">
        <v>8340</v>
      </c>
    </row>
    <row r="33" customFormat="false" ht="29.25" hidden="false" customHeight="true" outlineLevel="0" collapsed="false">
      <c r="A33" s="6" t="s">
        <v>7337</v>
      </c>
      <c r="B33" s="6" t="s">
        <v>8421</v>
      </c>
      <c r="C33" s="6" t="s">
        <v>8422</v>
      </c>
      <c r="D33" s="6" t="s">
        <v>8423</v>
      </c>
      <c r="E33" s="6" t="s">
        <v>7332</v>
      </c>
      <c r="F33" s="6" t="s">
        <v>7333</v>
      </c>
      <c r="G33" s="5" t="s">
        <v>8407</v>
      </c>
    </row>
    <row r="34" customFormat="false" ht="69" hidden="false" customHeight="true" outlineLevel="0" collapsed="false">
      <c r="A34" s="6" t="s">
        <v>3547</v>
      </c>
      <c r="B34" s="6" t="s">
        <v>8424</v>
      </c>
      <c r="C34" s="6" t="s">
        <v>8425</v>
      </c>
      <c r="D34" s="6" t="s">
        <v>8426</v>
      </c>
      <c r="E34" s="6" t="s">
        <v>7348</v>
      </c>
      <c r="F34" s="6" t="s">
        <v>8427</v>
      </c>
      <c r="G34" s="5" t="s">
        <v>8428</v>
      </c>
    </row>
    <row r="35" customFormat="false" ht="29.25" hidden="false" customHeight="true" outlineLevel="0" collapsed="false">
      <c r="A35" s="6" t="s">
        <v>7364</v>
      </c>
      <c r="B35" s="6" t="s">
        <v>8429</v>
      </c>
      <c r="C35" s="5" t="s">
        <v>8430</v>
      </c>
      <c r="D35" s="6" t="s">
        <v>129</v>
      </c>
      <c r="E35" s="6" t="s">
        <v>8431</v>
      </c>
      <c r="F35" s="6" t="s">
        <v>7361</v>
      </c>
      <c r="G35" s="5" t="s">
        <v>8411</v>
      </c>
    </row>
    <row r="36" customFormat="false" ht="29.25" hidden="false" customHeight="true" outlineLevel="0" collapsed="false">
      <c r="A36" s="6" t="s">
        <v>8432</v>
      </c>
      <c r="B36" s="6" t="s">
        <v>8433</v>
      </c>
      <c r="C36" s="6" t="s">
        <v>8434</v>
      </c>
      <c r="D36" s="6" t="s">
        <v>8435</v>
      </c>
      <c r="E36" s="6" t="s">
        <v>6501</v>
      </c>
      <c r="F36" s="6" t="s">
        <v>8436</v>
      </c>
      <c r="G36" s="5" t="s">
        <v>8437</v>
      </c>
    </row>
    <row r="37" customFormat="false" ht="29.25" hidden="false" customHeight="true" outlineLevel="0" collapsed="false">
      <c r="A37" s="6" t="s">
        <v>7040</v>
      </c>
      <c r="B37" s="6" t="s">
        <v>8438</v>
      </c>
      <c r="C37" s="6" t="s">
        <v>8439</v>
      </c>
      <c r="D37" s="6" t="s">
        <v>8440</v>
      </c>
      <c r="E37" s="6" t="s">
        <v>6485</v>
      </c>
      <c r="F37" s="6" t="s">
        <v>7036</v>
      </c>
      <c r="G37" s="5" t="s">
        <v>8441</v>
      </c>
    </row>
    <row r="38" customFormat="false" ht="29.25" hidden="false" customHeight="true" outlineLevel="0" collapsed="false">
      <c r="A38" s="6" t="s">
        <v>6669</v>
      </c>
      <c r="B38" s="6" t="s">
        <v>8442</v>
      </c>
      <c r="C38" s="6" t="s">
        <v>8443</v>
      </c>
      <c r="D38" s="6" t="s">
        <v>8417</v>
      </c>
      <c r="E38" s="6" t="s">
        <v>6471</v>
      </c>
      <c r="F38" s="6" t="s">
        <v>6665</v>
      </c>
      <c r="G38" s="5" t="s">
        <v>8444</v>
      </c>
    </row>
    <row r="39" customFormat="false" ht="29.25" hidden="false" customHeight="true" outlineLevel="0" collapsed="false">
      <c r="A39" s="6" t="s">
        <v>7390</v>
      </c>
      <c r="B39" s="6" t="s">
        <v>8445</v>
      </c>
      <c r="C39" s="6" t="s">
        <v>8446</v>
      </c>
      <c r="D39" s="6" t="s">
        <v>8447</v>
      </c>
      <c r="E39" s="6" t="s">
        <v>7386</v>
      </c>
      <c r="F39" s="6" t="s">
        <v>7387</v>
      </c>
      <c r="G39" s="5" t="s">
        <v>8340</v>
      </c>
    </row>
    <row r="40" customFormat="false" ht="57.75" hidden="false" customHeight="true" outlineLevel="0" collapsed="false">
      <c r="A40" s="6" t="s">
        <v>7837</v>
      </c>
      <c r="B40" s="6" t="s">
        <v>8448</v>
      </c>
      <c r="C40" s="5" t="s">
        <v>8449</v>
      </c>
      <c r="D40" s="6" t="s">
        <v>8450</v>
      </c>
      <c r="E40" s="6" t="s">
        <v>6501</v>
      </c>
      <c r="F40" s="6" t="s">
        <v>7834</v>
      </c>
      <c r="G40" s="5" t="s">
        <v>8411</v>
      </c>
    </row>
    <row r="41" customFormat="false" ht="29.25" hidden="false" customHeight="true" outlineLevel="0" collapsed="false">
      <c r="A41" s="6" t="s">
        <v>7058</v>
      </c>
      <c r="B41" s="6" t="s">
        <v>8451</v>
      </c>
      <c r="C41" s="6" t="s">
        <v>8452</v>
      </c>
      <c r="D41" s="6" t="s">
        <v>8453</v>
      </c>
      <c r="E41" s="6" t="s">
        <v>7053</v>
      </c>
      <c r="F41" s="6" t="s">
        <v>7054</v>
      </c>
      <c r="G41" s="5" t="s">
        <v>8411</v>
      </c>
    </row>
    <row r="42" customFormat="false" ht="43.5" hidden="false" customHeight="true" outlineLevel="0" collapsed="false">
      <c r="A42" s="6" t="s">
        <v>7069</v>
      </c>
      <c r="B42" s="6" t="s">
        <v>8454</v>
      </c>
      <c r="C42" s="6" t="s">
        <v>8455</v>
      </c>
      <c r="D42" s="6" t="s">
        <v>8456</v>
      </c>
      <c r="E42" s="6" t="s">
        <v>8457</v>
      </c>
      <c r="F42" s="6" t="s">
        <v>7066</v>
      </c>
      <c r="G42" s="5" t="s">
        <v>8458</v>
      </c>
    </row>
    <row r="43" customFormat="false" ht="29.25" hidden="false" customHeight="true" outlineLevel="0" collapsed="false">
      <c r="A43" s="6" t="s">
        <v>7081</v>
      </c>
      <c r="B43" s="6" t="s">
        <v>8459</v>
      </c>
      <c r="C43" s="6" t="s">
        <v>8460</v>
      </c>
      <c r="D43" s="6" t="s">
        <v>8461</v>
      </c>
      <c r="E43" s="6" t="s">
        <v>7077</v>
      </c>
      <c r="F43" s="6" t="s">
        <v>7078</v>
      </c>
      <c r="G43" s="5" t="s">
        <v>8411</v>
      </c>
    </row>
    <row r="44" customFormat="false" ht="40.5" hidden="false" customHeight="true" outlineLevel="0" collapsed="false">
      <c r="A44" s="6" t="s">
        <v>7089</v>
      </c>
      <c r="B44" s="6" t="s">
        <v>8462</v>
      </c>
      <c r="C44" s="5" t="s">
        <v>8463</v>
      </c>
      <c r="D44" s="6" t="s">
        <v>8464</v>
      </c>
      <c r="E44" s="6" t="s">
        <v>7085</v>
      </c>
      <c r="F44" s="6" t="s">
        <v>7086</v>
      </c>
      <c r="G44" s="5" t="s">
        <v>8465</v>
      </c>
    </row>
    <row r="45" customFormat="false" ht="29.25" hidden="false" customHeight="true" outlineLevel="0" collapsed="false">
      <c r="A45" s="6" t="s">
        <v>8466</v>
      </c>
      <c r="B45" s="6" t="s">
        <v>8467</v>
      </c>
      <c r="C45" s="6" t="s">
        <v>8468</v>
      </c>
      <c r="D45" s="6" t="s">
        <v>8469</v>
      </c>
      <c r="E45" s="6" t="s">
        <v>6471</v>
      </c>
      <c r="F45" s="6" t="s">
        <v>8470</v>
      </c>
      <c r="G45" s="5" t="s">
        <v>8471</v>
      </c>
    </row>
    <row r="46" customFormat="false" ht="29.25" hidden="false" customHeight="true" outlineLevel="0" collapsed="false">
      <c r="A46" s="6" t="s">
        <v>973</v>
      </c>
      <c r="B46" s="6" t="s">
        <v>8472</v>
      </c>
      <c r="C46" s="5" t="s">
        <v>8473</v>
      </c>
      <c r="D46" s="6" t="s">
        <v>8440</v>
      </c>
      <c r="E46" s="6" t="s">
        <v>7099</v>
      </c>
      <c r="F46" s="6" t="s">
        <v>7100</v>
      </c>
      <c r="G46" s="6" t="s">
        <v>8474</v>
      </c>
    </row>
    <row r="47" customFormat="false" ht="29.25" hidden="false" customHeight="true" outlineLevel="0" collapsed="false">
      <c r="A47" s="6" t="s">
        <v>7118</v>
      </c>
      <c r="B47" s="6" t="s">
        <v>8475</v>
      </c>
      <c r="C47" s="5" t="s">
        <v>8476</v>
      </c>
      <c r="D47" s="6" t="s">
        <v>8440</v>
      </c>
      <c r="E47" s="6" t="s">
        <v>1211</v>
      </c>
      <c r="F47" s="6" t="s">
        <v>7116</v>
      </c>
      <c r="G47" s="5" t="s">
        <v>8441</v>
      </c>
    </row>
    <row r="48" customFormat="false" ht="29.25" hidden="false" customHeight="true" outlineLevel="0" collapsed="false">
      <c r="A48" s="6" t="s">
        <v>7128</v>
      </c>
      <c r="B48" s="6" t="s">
        <v>8477</v>
      </c>
      <c r="C48" s="5" t="s">
        <v>8478</v>
      </c>
      <c r="D48" s="6" t="s">
        <v>8479</v>
      </c>
      <c r="E48" s="6" t="s">
        <v>7124</v>
      </c>
      <c r="F48" s="6" t="s">
        <v>7125</v>
      </c>
      <c r="G48" s="5" t="s">
        <v>8441</v>
      </c>
    </row>
    <row r="49" customFormat="false" ht="29.25" hidden="false" customHeight="true" outlineLevel="0" collapsed="false">
      <c r="A49" s="6" t="s">
        <v>7133</v>
      </c>
      <c r="B49" s="6" t="s">
        <v>8480</v>
      </c>
      <c r="C49" s="5" t="s">
        <v>8481</v>
      </c>
      <c r="D49" s="6" t="s">
        <v>8482</v>
      </c>
      <c r="E49" s="6" t="s">
        <v>7065</v>
      </c>
      <c r="F49" s="6" t="s">
        <v>7131</v>
      </c>
      <c r="G49" s="5" t="s">
        <v>8458</v>
      </c>
    </row>
    <row r="50" customFormat="false" ht="29.25" hidden="false" customHeight="true" outlineLevel="0" collapsed="false">
      <c r="A50" s="6" t="s">
        <v>7142</v>
      </c>
      <c r="B50" s="6" t="s">
        <v>8483</v>
      </c>
      <c r="C50" s="6" t="s">
        <v>8484</v>
      </c>
      <c r="D50" s="6" t="s">
        <v>8447</v>
      </c>
      <c r="E50" s="6" t="s">
        <v>7085</v>
      </c>
      <c r="F50" s="6" t="s">
        <v>7139</v>
      </c>
      <c r="G50" s="5" t="s">
        <v>8411</v>
      </c>
    </row>
    <row r="51" customFormat="false" ht="29.25" hidden="false" customHeight="true" outlineLevel="0" collapsed="false">
      <c r="A51" s="6" t="s">
        <v>7404</v>
      </c>
      <c r="B51" s="6" t="s">
        <v>8485</v>
      </c>
      <c r="C51" s="6" t="s">
        <v>8486</v>
      </c>
      <c r="D51" s="6" t="s">
        <v>8487</v>
      </c>
      <c r="E51" s="6" t="s">
        <v>8488</v>
      </c>
      <c r="F51" s="6" t="s">
        <v>7401</v>
      </c>
      <c r="G51" s="5" t="s">
        <v>8489</v>
      </c>
    </row>
    <row r="52" customFormat="false" ht="29.25" hidden="false" customHeight="true" outlineLevel="0" collapsed="false">
      <c r="A52" s="6" t="s">
        <v>7326</v>
      </c>
      <c r="B52" s="6" t="s">
        <v>8490</v>
      </c>
      <c r="C52" s="6" t="s">
        <v>8491</v>
      </c>
      <c r="D52" s="6" t="s">
        <v>8440</v>
      </c>
      <c r="E52" s="6" t="s">
        <v>7322</v>
      </c>
      <c r="F52" s="6" t="s">
        <v>7323</v>
      </c>
      <c r="G52" s="5" t="s">
        <v>8340</v>
      </c>
    </row>
    <row r="53" customFormat="false" ht="29.25" hidden="false" customHeight="true" outlineLevel="0" collapsed="false">
      <c r="A53" s="6" t="s">
        <v>7528</v>
      </c>
      <c r="B53" s="6" t="s">
        <v>8492</v>
      </c>
      <c r="C53" s="6" t="s">
        <v>8493</v>
      </c>
      <c r="D53" s="6" t="s">
        <v>129</v>
      </c>
      <c r="E53" s="6" t="s">
        <v>1202</v>
      </c>
      <c r="F53" s="6" t="s">
        <v>7525</v>
      </c>
      <c r="G53" s="5" t="s">
        <v>8411</v>
      </c>
    </row>
    <row r="54" customFormat="false" ht="72" hidden="false" customHeight="true" outlineLevel="0" collapsed="false">
      <c r="A54" s="6" t="s">
        <v>7559</v>
      </c>
      <c r="B54" s="6" t="s">
        <v>8494</v>
      </c>
      <c r="C54" s="6" t="s">
        <v>8495</v>
      </c>
      <c r="D54" s="6" t="s">
        <v>8496</v>
      </c>
      <c r="E54" s="6" t="s">
        <v>8497</v>
      </c>
      <c r="F54" s="6" t="s">
        <v>7556</v>
      </c>
      <c r="G54" s="5" t="s">
        <v>8498</v>
      </c>
    </row>
    <row r="55" customFormat="false" ht="29.25" hidden="false" customHeight="true" outlineLevel="0" collapsed="false">
      <c r="A55" s="6" t="s">
        <v>3601</v>
      </c>
      <c r="B55" s="6" t="s">
        <v>8499</v>
      </c>
      <c r="C55" s="6" t="s">
        <v>8500</v>
      </c>
      <c r="D55" s="6" t="s">
        <v>129</v>
      </c>
      <c r="E55" s="6" t="s">
        <v>1223</v>
      </c>
      <c r="F55" s="6" t="s">
        <v>7591</v>
      </c>
      <c r="G55" s="5" t="s">
        <v>8501</v>
      </c>
    </row>
    <row r="56" customFormat="false" ht="29.25" hidden="false" customHeight="true" outlineLevel="0" collapsed="false">
      <c r="A56" s="6" t="s">
        <v>7624</v>
      </c>
      <c r="B56" s="6" t="s">
        <v>8502</v>
      </c>
      <c r="C56" s="6" t="s">
        <v>8503</v>
      </c>
      <c r="D56" s="6" t="s">
        <v>129</v>
      </c>
      <c r="E56" s="6" t="s">
        <v>1223</v>
      </c>
      <c r="F56" s="6" t="s">
        <v>7621</v>
      </c>
      <c r="G56" s="5" t="s">
        <v>8391</v>
      </c>
    </row>
    <row r="57" customFormat="false" ht="43.5" hidden="false" customHeight="true" outlineLevel="0" collapsed="false">
      <c r="A57" s="6" t="s">
        <v>7646</v>
      </c>
      <c r="B57" s="6" t="s">
        <v>8504</v>
      </c>
      <c r="C57" s="6" t="s">
        <v>8505</v>
      </c>
      <c r="D57" s="6" t="s">
        <v>8506</v>
      </c>
      <c r="E57" s="6" t="s">
        <v>8497</v>
      </c>
      <c r="F57" s="6" t="s">
        <v>7643</v>
      </c>
      <c r="G57" s="5" t="s">
        <v>8507</v>
      </c>
    </row>
    <row r="58" customFormat="false" ht="54.75" hidden="false" customHeight="true" outlineLevel="0" collapsed="false">
      <c r="A58" s="6" t="s">
        <v>7683</v>
      </c>
      <c r="B58" s="6" t="s">
        <v>8508</v>
      </c>
      <c r="C58" s="6" t="s">
        <v>8509</v>
      </c>
      <c r="D58" s="6" t="s">
        <v>8510</v>
      </c>
      <c r="E58" s="6" t="s">
        <v>1211</v>
      </c>
      <c r="F58" s="6" t="s">
        <v>7680</v>
      </c>
      <c r="G58" s="5" t="s">
        <v>8511</v>
      </c>
    </row>
    <row r="59" customFormat="false" ht="29.25" hidden="false" customHeight="true" outlineLevel="0" collapsed="false">
      <c r="A59" s="6" t="s">
        <v>7709</v>
      </c>
      <c r="B59" s="6" t="s">
        <v>8512</v>
      </c>
      <c r="C59" s="6" t="s">
        <v>8513</v>
      </c>
      <c r="D59" s="6" t="s">
        <v>332</v>
      </c>
      <c r="E59" s="6" t="s">
        <v>1211</v>
      </c>
      <c r="F59" s="6" t="s">
        <v>7706</v>
      </c>
      <c r="G59" s="5" t="s">
        <v>8514</v>
      </c>
    </row>
    <row r="60" customFormat="false" ht="72" hidden="false" customHeight="true" outlineLevel="0" collapsed="false">
      <c r="A60" s="6" t="s">
        <v>7849</v>
      </c>
      <c r="B60" s="6" t="s">
        <v>8515</v>
      </c>
      <c r="C60" s="5" t="s">
        <v>8516</v>
      </c>
      <c r="D60" s="6" t="s">
        <v>8517</v>
      </c>
      <c r="E60" s="6" t="s">
        <v>6471</v>
      </c>
      <c r="F60" s="6" t="s">
        <v>7846</v>
      </c>
      <c r="G60" s="5" t="s">
        <v>8518</v>
      </c>
    </row>
    <row r="61" customFormat="false" ht="83.25" hidden="false" customHeight="true" outlineLevel="0" collapsed="false">
      <c r="A61" s="6" t="s">
        <v>1960</v>
      </c>
      <c r="B61" s="6" t="s">
        <v>8519</v>
      </c>
      <c r="C61" s="6" t="s">
        <v>8520</v>
      </c>
      <c r="D61" s="6" t="s">
        <v>8521</v>
      </c>
      <c r="E61" s="6" t="s">
        <v>1211</v>
      </c>
      <c r="F61" s="6" t="s">
        <v>7777</v>
      </c>
      <c r="G61" s="6" t="s">
        <v>8522</v>
      </c>
    </row>
    <row r="62" customFormat="false" ht="57.75" hidden="false" customHeight="true" outlineLevel="0" collapsed="false">
      <c r="A62" s="6" t="s">
        <v>1979</v>
      </c>
      <c r="B62" s="6" t="s">
        <v>8523</v>
      </c>
      <c r="C62" s="6" t="s">
        <v>8524</v>
      </c>
      <c r="D62" s="6" t="s">
        <v>8525</v>
      </c>
      <c r="E62" s="6" t="s">
        <v>8526</v>
      </c>
      <c r="F62" s="6" t="s">
        <v>7728</v>
      </c>
      <c r="G62" s="6" t="s">
        <v>8527</v>
      </c>
    </row>
    <row r="63" customFormat="false" ht="40.5" hidden="false" customHeight="true" outlineLevel="0" collapsed="false">
      <c r="A63" s="6" t="s">
        <v>7818</v>
      </c>
      <c r="B63" s="6" t="s">
        <v>8528</v>
      </c>
      <c r="C63" s="6" t="s">
        <v>8529</v>
      </c>
      <c r="D63" s="6" t="s">
        <v>8530</v>
      </c>
      <c r="E63" s="6" t="s">
        <v>1211</v>
      </c>
      <c r="F63" s="6" t="s">
        <v>7815</v>
      </c>
      <c r="G63" s="5" t="s">
        <v>8531</v>
      </c>
    </row>
    <row r="64" customFormat="false" ht="29.25" hidden="false" customHeight="true" outlineLevel="0" collapsed="false">
      <c r="A64" s="6" t="s">
        <v>7828</v>
      </c>
      <c r="B64" s="6" t="s">
        <v>8532</v>
      </c>
      <c r="C64" s="6" t="s">
        <v>8533</v>
      </c>
      <c r="D64" s="6" t="s">
        <v>8534</v>
      </c>
      <c r="E64" s="6" t="s">
        <v>1211</v>
      </c>
      <c r="F64" s="6" t="s">
        <v>7825</v>
      </c>
      <c r="G64" s="5" t="s">
        <v>8535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9" t="s">
        <v>8536</v>
      </c>
    </row>
    <row r="2" customFormat="false" ht="15" hidden="false" customHeight="true" outlineLevel="0" collapsed="false">
      <c r="A2" s="231" t="s">
        <v>8537</v>
      </c>
    </row>
    <row r="3" customFormat="false" ht="15" hidden="false" customHeight="true" outlineLevel="0" collapsed="false">
      <c r="A3" s="42" t="s">
        <v>8538</v>
      </c>
    </row>
    <row r="4" customFormat="false" ht="15" hidden="false" customHeight="true" outlineLevel="0" collapsed="false">
      <c r="A4" s="82" t="s">
        <v>587</v>
      </c>
      <c r="B4" s="220" t="s">
        <v>5740</v>
      </c>
      <c r="C4" s="220" t="s">
        <v>8539</v>
      </c>
      <c r="D4" s="220" t="s">
        <v>8540</v>
      </c>
      <c r="E4" s="220" t="s">
        <v>81</v>
      </c>
      <c r="F4" s="220" t="s">
        <v>8541</v>
      </c>
      <c r="G4" s="82" t="s">
        <v>8542</v>
      </c>
      <c r="H4" s="220" t="s">
        <v>8543</v>
      </c>
      <c r="I4" s="220" t="s">
        <v>8544</v>
      </c>
      <c r="J4" s="220" t="s">
        <v>8545</v>
      </c>
      <c r="K4" s="220" t="s">
        <v>6450</v>
      </c>
      <c r="L4" s="220" t="s">
        <v>8546</v>
      </c>
      <c r="M4" s="220" t="s">
        <v>8547</v>
      </c>
      <c r="N4" s="220" t="s">
        <v>6443</v>
      </c>
      <c r="O4" s="220" t="s">
        <v>8548</v>
      </c>
      <c r="P4" s="220" t="s">
        <v>5914</v>
      </c>
      <c r="Q4" s="220" t="s">
        <v>6440</v>
      </c>
    </row>
    <row r="5" customFormat="false" ht="30" hidden="false" customHeight="true" outlineLevel="0" collapsed="false">
      <c r="A5" s="224" t="s">
        <v>6685</v>
      </c>
      <c r="B5" s="224" t="s">
        <v>5801</v>
      </c>
      <c r="C5" s="233" t="s">
        <v>8549</v>
      </c>
      <c r="D5" s="224" t="s">
        <v>8550</v>
      </c>
      <c r="E5" s="224" t="s">
        <v>206</v>
      </c>
      <c r="F5" s="233" t="s">
        <v>8551</v>
      </c>
      <c r="G5" s="224" t="s">
        <v>8552</v>
      </c>
      <c r="H5" s="224" t="s">
        <v>8553</v>
      </c>
      <c r="I5" s="234" t="s">
        <v>8554</v>
      </c>
      <c r="J5" s="224" t="s">
        <v>8555</v>
      </c>
      <c r="K5" s="233" t="s">
        <v>8556</v>
      </c>
      <c r="L5" s="222" t="s">
        <v>8557</v>
      </c>
      <c r="M5" s="6" t="s">
        <v>8558</v>
      </c>
      <c r="N5" s="28" t="s">
        <v>608</v>
      </c>
      <c r="O5" s="28" t="s">
        <v>608</v>
      </c>
      <c r="P5" s="28" t="s">
        <v>608</v>
      </c>
      <c r="Q5" s="6" t="s">
        <v>608</v>
      </c>
    </row>
    <row r="6" customFormat="false" ht="30" hidden="false" customHeight="true" outlineLevel="0" collapsed="false">
      <c r="A6" s="224" t="s">
        <v>8559</v>
      </c>
      <c r="B6" s="224" t="s">
        <v>5801</v>
      </c>
      <c r="C6" s="233" t="s">
        <v>8560</v>
      </c>
      <c r="D6" s="224" t="s">
        <v>7040</v>
      </c>
      <c r="E6" s="224" t="s">
        <v>129</v>
      </c>
      <c r="F6" s="233" t="s">
        <v>8561</v>
      </c>
      <c r="G6" s="234" t="s">
        <v>8562</v>
      </c>
      <c r="H6" s="224" t="s">
        <v>8563</v>
      </c>
      <c r="I6" s="234" t="s">
        <v>8554</v>
      </c>
      <c r="J6" s="224" t="s">
        <v>8555</v>
      </c>
      <c r="K6" s="233"/>
      <c r="L6" s="222" t="s">
        <v>8557</v>
      </c>
      <c r="M6" s="6" t="s">
        <v>8564</v>
      </c>
      <c r="N6" s="28" t="s">
        <v>608</v>
      </c>
      <c r="O6" s="28" t="s">
        <v>608</v>
      </c>
      <c r="P6" s="28" t="s">
        <v>608</v>
      </c>
      <c r="Q6" s="6" t="s">
        <v>608</v>
      </c>
    </row>
    <row r="7" customFormat="false" ht="30" hidden="false" customHeight="true" outlineLevel="0" collapsed="false">
      <c r="A7" s="224" t="s">
        <v>8565</v>
      </c>
      <c r="B7" s="224" t="s">
        <v>5801</v>
      </c>
      <c r="C7" s="233" t="s">
        <v>8566</v>
      </c>
      <c r="D7" s="224" t="s">
        <v>6669</v>
      </c>
      <c r="E7" s="224" t="s">
        <v>206</v>
      </c>
      <c r="F7" s="233" t="s">
        <v>8567</v>
      </c>
      <c r="G7" s="234" t="s">
        <v>8562</v>
      </c>
      <c r="H7" s="224" t="s">
        <v>8568</v>
      </c>
      <c r="I7" s="234" t="s">
        <v>8554</v>
      </c>
      <c r="J7" s="224" t="s">
        <v>8555</v>
      </c>
      <c r="K7" s="233"/>
      <c r="L7" s="222" t="s">
        <v>8557</v>
      </c>
      <c r="M7" s="6" t="s">
        <v>8569</v>
      </c>
      <c r="N7" s="28" t="s">
        <v>608</v>
      </c>
      <c r="O7" s="28" t="s">
        <v>608</v>
      </c>
      <c r="P7" s="28" t="s">
        <v>608</v>
      </c>
      <c r="Q7" s="6" t="s">
        <v>608</v>
      </c>
    </row>
    <row r="8" customFormat="false" ht="30" hidden="false" customHeight="true" outlineLevel="0" collapsed="false">
      <c r="A8" s="224" t="s">
        <v>8570</v>
      </c>
      <c r="B8" s="224" t="s">
        <v>5801</v>
      </c>
      <c r="C8" s="235" t="s">
        <v>8571</v>
      </c>
      <c r="D8" s="224" t="s">
        <v>7837</v>
      </c>
      <c r="E8" s="224" t="s">
        <v>98</v>
      </c>
      <c r="F8" s="233" t="s">
        <v>8572</v>
      </c>
      <c r="G8" s="234" t="s">
        <v>8562</v>
      </c>
      <c r="H8" s="224" t="s">
        <v>8573</v>
      </c>
      <c r="I8" s="234" t="s">
        <v>8574</v>
      </c>
      <c r="J8" s="224" t="s">
        <v>8555</v>
      </c>
      <c r="K8" s="235" t="s">
        <v>8575</v>
      </c>
      <c r="L8" s="222" t="s">
        <v>8557</v>
      </c>
      <c r="M8" s="6" t="s">
        <v>8576</v>
      </c>
      <c r="N8" s="28" t="s">
        <v>608</v>
      </c>
      <c r="O8" s="28" t="s">
        <v>608</v>
      </c>
      <c r="P8" s="28" t="s">
        <v>608</v>
      </c>
      <c r="Q8" s="6" t="s">
        <v>608</v>
      </c>
    </row>
    <row r="9" customFormat="false" ht="30" hidden="false" customHeight="true" outlineLevel="0" collapsed="false">
      <c r="A9" s="224" t="s">
        <v>8577</v>
      </c>
      <c r="B9" s="224" t="s">
        <v>5801</v>
      </c>
      <c r="C9" s="233" t="s">
        <v>8578</v>
      </c>
      <c r="D9" s="224" t="s">
        <v>7089</v>
      </c>
      <c r="E9" s="224" t="s">
        <v>206</v>
      </c>
      <c r="F9" s="233" t="s">
        <v>8579</v>
      </c>
      <c r="G9" s="224" t="s">
        <v>608</v>
      </c>
      <c r="H9" s="224" t="s">
        <v>8580</v>
      </c>
      <c r="I9" s="234" t="s">
        <v>8581</v>
      </c>
      <c r="J9" s="224" t="s">
        <v>8555</v>
      </c>
      <c r="K9" s="235" t="s">
        <v>8582</v>
      </c>
      <c r="L9" s="222" t="s">
        <v>8557</v>
      </c>
      <c r="M9" s="6" t="s">
        <v>8583</v>
      </c>
      <c r="N9" s="28" t="s">
        <v>608</v>
      </c>
      <c r="O9" s="28" t="s">
        <v>608</v>
      </c>
      <c r="P9" s="28" t="s">
        <v>608</v>
      </c>
      <c r="Q9" s="6" t="s">
        <v>608</v>
      </c>
    </row>
    <row r="10" customFormat="false" ht="30" hidden="false" customHeight="true" outlineLevel="0" collapsed="false">
      <c r="A10" s="224" t="s">
        <v>8584</v>
      </c>
      <c r="B10" s="224" t="s">
        <v>5801</v>
      </c>
      <c r="C10" s="235" t="s">
        <v>8585</v>
      </c>
      <c r="D10" s="224" t="s">
        <v>7058</v>
      </c>
      <c r="E10" s="224" t="s">
        <v>98</v>
      </c>
      <c r="F10" s="233" t="s">
        <v>8586</v>
      </c>
      <c r="G10" s="224" t="s">
        <v>8587</v>
      </c>
      <c r="H10" s="234" t="s">
        <v>8588</v>
      </c>
      <c r="I10" s="234" t="s">
        <v>1217</v>
      </c>
      <c r="J10" s="224" t="s">
        <v>608</v>
      </c>
      <c r="K10" s="233" t="s">
        <v>8589</v>
      </c>
      <c r="L10" s="222" t="s">
        <v>8590</v>
      </c>
      <c r="M10" s="6" t="s">
        <v>5312</v>
      </c>
      <c r="N10" s="28" t="s">
        <v>608</v>
      </c>
      <c r="O10" s="28" t="s">
        <v>608</v>
      </c>
      <c r="P10" s="28" t="s">
        <v>608</v>
      </c>
      <c r="Q10" s="6" t="s">
        <v>608</v>
      </c>
    </row>
    <row r="11" customFormat="false" ht="30" hidden="false" customHeight="true" outlineLevel="0" collapsed="false">
      <c r="A11" s="224" t="s">
        <v>8591</v>
      </c>
      <c r="B11" s="224" t="s">
        <v>1223</v>
      </c>
      <c r="C11" s="235" t="s">
        <v>8592</v>
      </c>
      <c r="D11" s="224" t="s">
        <v>8593</v>
      </c>
      <c r="E11" s="224" t="s">
        <v>206</v>
      </c>
      <c r="F11" s="233" t="s">
        <v>8594</v>
      </c>
      <c r="G11" s="224" t="s">
        <v>8595</v>
      </c>
      <c r="H11" s="224" t="s">
        <v>8596</v>
      </c>
      <c r="I11" s="234" t="s">
        <v>8554</v>
      </c>
      <c r="J11" s="224" t="s">
        <v>8597</v>
      </c>
      <c r="K11" s="233" t="s">
        <v>8598</v>
      </c>
      <c r="L11" s="222" t="s">
        <v>8557</v>
      </c>
      <c r="M11" s="6" t="s">
        <v>8599</v>
      </c>
      <c r="N11" s="28" t="s">
        <v>608</v>
      </c>
      <c r="O11" s="28" t="s">
        <v>608</v>
      </c>
      <c r="P11" s="28" t="s">
        <v>608</v>
      </c>
      <c r="Q11" s="6" t="s">
        <v>608</v>
      </c>
    </row>
    <row r="12" customFormat="false" ht="30" hidden="false" customHeight="true" outlineLevel="0" collapsed="false">
      <c r="A12" s="224" t="s">
        <v>8600</v>
      </c>
      <c r="B12" s="224" t="s">
        <v>1223</v>
      </c>
      <c r="C12" s="235" t="s">
        <v>8601</v>
      </c>
      <c r="D12" s="224" t="s">
        <v>8466</v>
      </c>
      <c r="E12" s="224" t="s">
        <v>129</v>
      </c>
      <c r="F12" s="233" t="s">
        <v>8602</v>
      </c>
      <c r="G12" s="224" t="s">
        <v>8603</v>
      </c>
      <c r="H12" s="224" t="s">
        <v>212</v>
      </c>
      <c r="I12" s="234" t="s">
        <v>8604</v>
      </c>
      <c r="J12" s="224" t="s">
        <v>8555</v>
      </c>
      <c r="K12" s="235" t="s">
        <v>8605</v>
      </c>
      <c r="L12" s="222" t="s">
        <v>8557</v>
      </c>
      <c r="M12" s="6" t="s">
        <v>608</v>
      </c>
      <c r="N12" s="28" t="s">
        <v>608</v>
      </c>
      <c r="O12" s="28" t="s">
        <v>608</v>
      </c>
      <c r="P12" s="28" t="s">
        <v>608</v>
      </c>
      <c r="Q12" s="19" t="s">
        <v>8606</v>
      </c>
    </row>
    <row r="13" customFormat="false" ht="30" hidden="false" customHeight="true" outlineLevel="0" collapsed="false">
      <c r="A13" s="224" t="s">
        <v>8607</v>
      </c>
      <c r="B13" s="224" t="s">
        <v>1223</v>
      </c>
      <c r="C13" s="233" t="s">
        <v>8608</v>
      </c>
      <c r="D13" s="224" t="s">
        <v>7404</v>
      </c>
      <c r="E13" s="224" t="s">
        <v>98</v>
      </c>
      <c r="F13" s="233" t="s">
        <v>8609</v>
      </c>
      <c r="G13" s="224" t="s">
        <v>608</v>
      </c>
      <c r="H13" s="234" t="s">
        <v>8610</v>
      </c>
      <c r="I13" s="234" t="s">
        <v>8581</v>
      </c>
      <c r="J13" s="224" t="s">
        <v>8597</v>
      </c>
      <c r="K13" s="235" t="s">
        <v>8611</v>
      </c>
      <c r="L13" s="222" t="s">
        <v>8557</v>
      </c>
      <c r="M13" s="6" t="s">
        <v>8612</v>
      </c>
      <c r="N13" s="28" t="s">
        <v>608</v>
      </c>
      <c r="O13" s="28" t="s">
        <v>608</v>
      </c>
      <c r="P13" s="28" t="s">
        <v>608</v>
      </c>
      <c r="Q13" s="6" t="s">
        <v>608</v>
      </c>
    </row>
    <row r="14" customFormat="false" ht="30" hidden="false" customHeight="true" outlineLevel="0" collapsed="false">
      <c r="A14" s="224" t="s">
        <v>8613</v>
      </c>
      <c r="B14" s="224" t="s">
        <v>1223</v>
      </c>
      <c r="C14" s="233" t="s">
        <v>8614</v>
      </c>
      <c r="D14" s="224" t="s">
        <v>7849</v>
      </c>
      <c r="E14" s="224" t="s">
        <v>206</v>
      </c>
      <c r="F14" s="233" t="s">
        <v>8615</v>
      </c>
      <c r="G14" s="234" t="s">
        <v>8562</v>
      </c>
      <c r="H14" s="224" t="s">
        <v>8616</v>
      </c>
      <c r="I14" s="234" t="s">
        <v>8554</v>
      </c>
      <c r="J14" s="224" t="s">
        <v>8617</v>
      </c>
      <c r="K14" s="235" t="s">
        <v>8618</v>
      </c>
      <c r="L14" s="222" t="s">
        <v>8557</v>
      </c>
      <c r="M14" s="6" t="s">
        <v>8619</v>
      </c>
      <c r="N14" s="28" t="s">
        <v>608</v>
      </c>
      <c r="O14" s="28" t="s">
        <v>608</v>
      </c>
      <c r="P14" s="28" t="s">
        <v>608</v>
      </c>
      <c r="Q14" s="6" t="s">
        <v>608</v>
      </c>
    </row>
    <row r="15" customFormat="false" ht="30" hidden="false" customHeight="true" outlineLevel="0" collapsed="false">
      <c r="A15" s="224" t="s">
        <v>8620</v>
      </c>
      <c r="B15" s="224" t="s">
        <v>1223</v>
      </c>
      <c r="C15" s="233" t="s">
        <v>8621</v>
      </c>
      <c r="D15" s="224" t="s">
        <v>3601</v>
      </c>
      <c r="E15" s="224" t="s">
        <v>129</v>
      </c>
      <c r="F15" s="233" t="s">
        <v>8622</v>
      </c>
      <c r="G15" s="234" t="s">
        <v>8623</v>
      </c>
      <c r="H15" s="234" t="s">
        <v>8624</v>
      </c>
      <c r="I15" s="234" t="s">
        <v>8554</v>
      </c>
      <c r="J15" s="224" t="s">
        <v>8617</v>
      </c>
      <c r="K15" s="235" t="s">
        <v>8625</v>
      </c>
      <c r="L15" s="222" t="s">
        <v>8557</v>
      </c>
      <c r="M15" s="6" t="s">
        <v>8626</v>
      </c>
      <c r="N15" s="28" t="s">
        <v>608</v>
      </c>
      <c r="O15" s="28" t="s">
        <v>608</v>
      </c>
      <c r="P15" s="28" t="s">
        <v>608</v>
      </c>
      <c r="Q15" s="6" t="s">
        <v>608</v>
      </c>
    </row>
    <row r="16" customFormat="false" ht="30" hidden="false" customHeight="true" outlineLevel="0" collapsed="false">
      <c r="A16" s="224" t="s">
        <v>8627</v>
      </c>
      <c r="B16" s="224" t="s">
        <v>1223</v>
      </c>
      <c r="C16" s="235" t="s">
        <v>8628</v>
      </c>
      <c r="D16" s="224" t="s">
        <v>8629</v>
      </c>
      <c r="E16" s="224" t="s">
        <v>206</v>
      </c>
      <c r="F16" s="233" t="s">
        <v>8630</v>
      </c>
      <c r="G16" s="224" t="s">
        <v>608</v>
      </c>
      <c r="H16" s="234" t="s">
        <v>8631</v>
      </c>
      <c r="I16" s="234" t="s">
        <v>8581</v>
      </c>
      <c r="J16" s="224" t="s">
        <v>8617</v>
      </c>
      <c r="K16" s="235" t="s">
        <v>8632</v>
      </c>
      <c r="L16" s="222" t="s">
        <v>8557</v>
      </c>
      <c r="M16" s="6" t="s">
        <v>8633</v>
      </c>
      <c r="N16" s="28" t="s">
        <v>608</v>
      </c>
      <c r="O16" s="28" t="s">
        <v>608</v>
      </c>
      <c r="P16" s="28" t="s">
        <v>608</v>
      </c>
      <c r="Q16" s="6" t="s">
        <v>608</v>
      </c>
    </row>
    <row r="17" customFormat="false" ht="30" hidden="false" customHeight="true" outlineLevel="0" collapsed="false">
      <c r="A17" s="224" t="s">
        <v>8634</v>
      </c>
      <c r="B17" s="224" t="s">
        <v>1223</v>
      </c>
      <c r="C17" s="233" t="s">
        <v>8635</v>
      </c>
      <c r="D17" s="224" t="s">
        <v>7683</v>
      </c>
      <c r="E17" s="224" t="s">
        <v>332</v>
      </c>
      <c r="F17" s="233" t="s">
        <v>8636</v>
      </c>
      <c r="G17" s="224" t="s">
        <v>608</v>
      </c>
      <c r="H17" s="224" t="s">
        <v>8637</v>
      </c>
      <c r="I17" s="234" t="s">
        <v>8581</v>
      </c>
      <c r="J17" s="224" t="s">
        <v>8617</v>
      </c>
      <c r="K17" s="235" t="s">
        <v>8638</v>
      </c>
      <c r="L17" s="222" t="s">
        <v>8557</v>
      </c>
      <c r="M17" s="6" t="s">
        <v>8639</v>
      </c>
      <c r="N17" s="28" t="s">
        <v>608</v>
      </c>
      <c r="O17" s="28" t="s">
        <v>608</v>
      </c>
      <c r="P17" s="28" t="s">
        <v>608</v>
      </c>
      <c r="Q17" s="6" t="s">
        <v>608</v>
      </c>
    </row>
    <row r="18" customFormat="false" ht="30" hidden="false" customHeight="true" outlineLevel="0" collapsed="false">
      <c r="A18" s="224" t="s">
        <v>8640</v>
      </c>
      <c r="B18" s="224" t="s">
        <v>1223</v>
      </c>
      <c r="C18" s="233" t="s">
        <v>8641</v>
      </c>
      <c r="D18" s="224" t="s">
        <v>7559</v>
      </c>
      <c r="E18" s="224" t="s">
        <v>206</v>
      </c>
      <c r="F18" s="233" t="s">
        <v>8642</v>
      </c>
      <c r="G18" s="224" t="s">
        <v>608</v>
      </c>
      <c r="H18" s="234" t="s">
        <v>8643</v>
      </c>
      <c r="I18" s="234" t="s">
        <v>1217</v>
      </c>
      <c r="J18" s="224" t="s">
        <v>608</v>
      </c>
      <c r="K18" s="235" t="s">
        <v>8644</v>
      </c>
      <c r="L18" s="222" t="s">
        <v>8590</v>
      </c>
      <c r="M18" s="6" t="s">
        <v>8645</v>
      </c>
      <c r="N18" s="28" t="s">
        <v>608</v>
      </c>
      <c r="O18" s="28" t="s">
        <v>608</v>
      </c>
      <c r="P18" s="28" t="s">
        <v>608</v>
      </c>
      <c r="Q18" s="6" t="s">
        <v>608</v>
      </c>
    </row>
    <row r="19" customFormat="false" ht="30" hidden="false" customHeight="true" outlineLevel="0" collapsed="false">
      <c r="A19" s="224" t="s">
        <v>8646</v>
      </c>
      <c r="B19" s="224" t="s">
        <v>1223</v>
      </c>
      <c r="C19" s="233" t="s">
        <v>8647</v>
      </c>
      <c r="D19" s="224" t="s">
        <v>7646</v>
      </c>
      <c r="E19" s="224" t="s">
        <v>206</v>
      </c>
      <c r="F19" s="233" t="s">
        <v>8648</v>
      </c>
      <c r="G19" s="224" t="s">
        <v>608</v>
      </c>
      <c r="H19" s="234" t="s">
        <v>1239</v>
      </c>
      <c r="I19" s="234" t="s">
        <v>1217</v>
      </c>
      <c r="J19" s="224" t="s">
        <v>608</v>
      </c>
      <c r="K19" s="233"/>
      <c r="L19" s="222" t="s">
        <v>8590</v>
      </c>
      <c r="M19" s="6" t="s">
        <v>8649</v>
      </c>
      <c r="N19" s="28" t="s">
        <v>608</v>
      </c>
      <c r="O19" s="28" t="s">
        <v>608</v>
      </c>
      <c r="P19" s="28" t="s">
        <v>608</v>
      </c>
      <c r="Q19" s="6" t="s">
        <v>608</v>
      </c>
    </row>
    <row r="20" customFormat="false" ht="30" hidden="false" customHeight="true" outlineLevel="0" collapsed="false">
      <c r="A20" s="224" t="s">
        <v>8650</v>
      </c>
      <c r="B20" s="224" t="s">
        <v>1223</v>
      </c>
      <c r="C20" s="233" t="s">
        <v>8651</v>
      </c>
      <c r="D20" s="224" t="s">
        <v>1960</v>
      </c>
      <c r="E20" s="224" t="s">
        <v>8652</v>
      </c>
      <c r="F20" s="233" t="s">
        <v>8653</v>
      </c>
      <c r="G20" s="234" t="s">
        <v>8562</v>
      </c>
      <c r="H20" s="224" t="s">
        <v>8654</v>
      </c>
      <c r="I20" s="234" t="s">
        <v>8581</v>
      </c>
      <c r="J20" s="224" t="s">
        <v>8655</v>
      </c>
      <c r="K20" s="235" t="s">
        <v>8656</v>
      </c>
      <c r="L20" s="222" t="s">
        <v>8557</v>
      </c>
      <c r="M20" s="6" t="s">
        <v>8657</v>
      </c>
      <c r="N20" s="28" t="s">
        <v>608</v>
      </c>
      <c r="O20" s="28" t="s">
        <v>608</v>
      </c>
      <c r="P20" s="28" t="s">
        <v>608</v>
      </c>
      <c r="Q20" s="6" t="s">
        <v>608</v>
      </c>
    </row>
    <row r="21" customFormat="false" ht="30" hidden="false" customHeight="true" outlineLevel="0" collapsed="false">
      <c r="A21" s="224" t="s">
        <v>8658</v>
      </c>
      <c r="B21" s="224" t="s">
        <v>1223</v>
      </c>
      <c r="C21" s="233" t="s">
        <v>8659</v>
      </c>
      <c r="D21" s="224" t="s">
        <v>7770</v>
      </c>
      <c r="E21" s="224" t="s">
        <v>206</v>
      </c>
      <c r="F21" s="233" t="s">
        <v>8660</v>
      </c>
      <c r="G21" s="224" t="s">
        <v>608</v>
      </c>
      <c r="H21" s="224" t="s">
        <v>8661</v>
      </c>
      <c r="I21" s="234" t="s">
        <v>8581</v>
      </c>
      <c r="J21" s="224" t="s">
        <v>8655</v>
      </c>
      <c r="K21" s="233" t="s">
        <v>8662</v>
      </c>
      <c r="L21" s="222" t="s">
        <v>8557</v>
      </c>
      <c r="M21" s="6" t="s">
        <v>8663</v>
      </c>
      <c r="N21" s="28" t="s">
        <v>608</v>
      </c>
      <c r="O21" s="28" t="s">
        <v>608</v>
      </c>
      <c r="P21" s="28" t="s">
        <v>608</v>
      </c>
      <c r="Q21" s="6" t="s">
        <v>608</v>
      </c>
    </row>
    <row r="22" customFormat="false" ht="30" hidden="false" customHeight="true" outlineLevel="0" collapsed="false">
      <c r="A22" s="224" t="s">
        <v>8664</v>
      </c>
      <c r="B22" s="224" t="s">
        <v>1223</v>
      </c>
      <c r="C22" s="233" t="s">
        <v>8665</v>
      </c>
      <c r="D22" s="224" t="s">
        <v>1979</v>
      </c>
      <c r="E22" s="224" t="s">
        <v>332</v>
      </c>
      <c r="F22" s="233" t="s">
        <v>8666</v>
      </c>
      <c r="G22" s="224" t="s">
        <v>608</v>
      </c>
      <c r="H22" s="224" t="s">
        <v>8667</v>
      </c>
      <c r="I22" s="234" t="s">
        <v>8581</v>
      </c>
      <c r="J22" s="224" t="s">
        <v>8655</v>
      </c>
      <c r="K22" s="233" t="s">
        <v>8668</v>
      </c>
      <c r="L22" s="222" t="s">
        <v>8557</v>
      </c>
      <c r="M22" s="6" t="s">
        <v>8669</v>
      </c>
      <c r="N22" s="28" t="s">
        <v>608</v>
      </c>
      <c r="O22" s="28" t="s">
        <v>608</v>
      </c>
      <c r="P22" s="28" t="s">
        <v>608</v>
      </c>
      <c r="Q22" s="6" t="s">
        <v>608</v>
      </c>
    </row>
    <row r="23" customFormat="false" ht="30" hidden="false" customHeight="true" outlineLevel="0" collapsed="false">
      <c r="A23" s="224" t="s">
        <v>8670</v>
      </c>
      <c r="B23" s="224" t="s">
        <v>1223</v>
      </c>
      <c r="C23" s="233" t="s">
        <v>8671</v>
      </c>
      <c r="D23" s="224" t="s">
        <v>1979</v>
      </c>
      <c r="E23" s="224" t="s">
        <v>332</v>
      </c>
      <c r="F23" s="233" t="s">
        <v>8672</v>
      </c>
      <c r="G23" s="224" t="s">
        <v>608</v>
      </c>
      <c r="H23" s="224" t="s">
        <v>8673</v>
      </c>
      <c r="I23" s="234" t="s">
        <v>8554</v>
      </c>
      <c r="J23" s="224" t="s">
        <v>8655</v>
      </c>
      <c r="K23" s="233"/>
      <c r="L23" s="222" t="s">
        <v>8557</v>
      </c>
      <c r="M23" s="6" t="s">
        <v>8669</v>
      </c>
      <c r="N23" s="28" t="s">
        <v>608</v>
      </c>
      <c r="O23" s="28" t="s">
        <v>608</v>
      </c>
      <c r="P23" s="28" t="s">
        <v>608</v>
      </c>
      <c r="Q23" s="6" t="s">
        <v>608</v>
      </c>
    </row>
    <row r="24" customFormat="false" ht="30" hidden="false" customHeight="true" outlineLevel="0" collapsed="false">
      <c r="A24" s="224" t="s">
        <v>8674</v>
      </c>
      <c r="B24" s="224" t="s">
        <v>1223</v>
      </c>
      <c r="C24" s="233" t="s">
        <v>8675</v>
      </c>
      <c r="D24" s="224" t="s">
        <v>7828</v>
      </c>
      <c r="E24" s="224" t="s">
        <v>206</v>
      </c>
      <c r="F24" s="233" t="s">
        <v>8676</v>
      </c>
      <c r="G24" s="224" t="s">
        <v>8677</v>
      </c>
      <c r="H24" s="224" t="s">
        <v>8678</v>
      </c>
      <c r="I24" s="234" t="s">
        <v>1217</v>
      </c>
      <c r="J24" s="224" t="s">
        <v>608</v>
      </c>
      <c r="K24" s="235" t="s">
        <v>8679</v>
      </c>
      <c r="L24" s="222" t="s">
        <v>8590</v>
      </c>
      <c r="M24" s="6" t="s">
        <v>7822</v>
      </c>
      <c r="N24" s="28" t="s">
        <v>608</v>
      </c>
      <c r="O24" s="28" t="s">
        <v>608</v>
      </c>
      <c r="P24" s="28" t="s">
        <v>608</v>
      </c>
      <c r="Q24" s="6" t="s">
        <v>608</v>
      </c>
    </row>
    <row r="25" customFormat="false" ht="29.25" hidden="false" customHeight="true" outlineLevel="0" collapsed="false">
      <c r="A25" s="224" t="s">
        <v>8680</v>
      </c>
      <c r="B25" s="224" t="s">
        <v>5864</v>
      </c>
      <c r="C25" s="233" t="s">
        <v>8681</v>
      </c>
      <c r="D25" s="224" t="s">
        <v>6037</v>
      </c>
      <c r="E25" s="234" t="s">
        <v>8682</v>
      </c>
      <c r="F25" s="234" t="s">
        <v>8683</v>
      </c>
      <c r="G25" s="224" t="s">
        <v>608</v>
      </c>
      <c r="H25" s="224" t="s">
        <v>608</v>
      </c>
      <c r="I25" s="234" t="s">
        <v>8684</v>
      </c>
      <c r="J25" s="224" t="s">
        <v>8685</v>
      </c>
      <c r="K25" s="233" t="s">
        <v>8686</v>
      </c>
      <c r="L25" s="222" t="s">
        <v>8557</v>
      </c>
      <c r="M25" s="6" t="s">
        <v>4027</v>
      </c>
      <c r="N25" s="28" t="s">
        <v>608</v>
      </c>
      <c r="O25" s="28" t="s">
        <v>608</v>
      </c>
      <c r="P25" s="28" t="s">
        <v>8687</v>
      </c>
      <c r="Q25" s="222" t="s">
        <v>6461</v>
      </c>
    </row>
    <row r="26" customFormat="false" ht="29.25" hidden="false" customHeight="true" outlineLevel="0" collapsed="false">
      <c r="A26" s="224" t="s">
        <v>6475</v>
      </c>
      <c r="B26" s="224" t="s">
        <v>5864</v>
      </c>
      <c r="C26" s="233" t="s">
        <v>8688</v>
      </c>
      <c r="D26" s="224" t="s">
        <v>6046</v>
      </c>
      <c r="E26" s="234" t="s">
        <v>8682</v>
      </c>
      <c r="F26" s="234" t="s">
        <v>8683</v>
      </c>
      <c r="G26" s="224" t="s">
        <v>608</v>
      </c>
      <c r="H26" s="224" t="s">
        <v>608</v>
      </c>
      <c r="I26" s="234" t="s">
        <v>8684</v>
      </c>
      <c r="J26" s="224" t="s">
        <v>8685</v>
      </c>
      <c r="K26" s="233" t="s">
        <v>8686</v>
      </c>
      <c r="L26" s="222" t="s">
        <v>8557</v>
      </c>
      <c r="M26" s="6" t="s">
        <v>8689</v>
      </c>
      <c r="N26" s="28" t="s">
        <v>608</v>
      </c>
      <c r="O26" s="28" t="s">
        <v>608</v>
      </c>
      <c r="P26" s="28" t="s">
        <v>8687</v>
      </c>
      <c r="Q26" s="222" t="s">
        <v>6461</v>
      </c>
    </row>
    <row r="27" customFormat="false" ht="29.25" hidden="false" customHeight="true" outlineLevel="0" collapsed="false">
      <c r="A27" s="224" t="s">
        <v>8690</v>
      </c>
      <c r="B27" s="224" t="s">
        <v>5864</v>
      </c>
      <c r="C27" s="233" t="s">
        <v>8691</v>
      </c>
      <c r="D27" s="224" t="s">
        <v>6489</v>
      </c>
      <c r="E27" s="234" t="s">
        <v>8682</v>
      </c>
      <c r="F27" s="234" t="s">
        <v>8683</v>
      </c>
      <c r="G27" s="224" t="s">
        <v>608</v>
      </c>
      <c r="H27" s="224" t="s">
        <v>608</v>
      </c>
      <c r="I27" s="234" t="s">
        <v>8684</v>
      </c>
      <c r="J27" s="224" t="s">
        <v>8685</v>
      </c>
      <c r="K27" s="233" t="s">
        <v>8686</v>
      </c>
      <c r="L27" s="222" t="s">
        <v>8557</v>
      </c>
      <c r="M27" s="6" t="s">
        <v>8692</v>
      </c>
      <c r="N27" s="28" t="s">
        <v>608</v>
      </c>
      <c r="O27" s="28" t="s">
        <v>608</v>
      </c>
      <c r="P27" s="28" t="s">
        <v>8687</v>
      </c>
      <c r="Q27" s="222" t="s">
        <v>6461</v>
      </c>
    </row>
    <row r="28" customFormat="false" ht="29.25" hidden="false" customHeight="true" outlineLevel="0" collapsed="false">
      <c r="A28" s="224" t="s">
        <v>6516</v>
      </c>
      <c r="B28" s="224" t="s">
        <v>5864</v>
      </c>
      <c r="C28" s="233" t="s">
        <v>8693</v>
      </c>
      <c r="D28" s="224" t="s">
        <v>6505</v>
      </c>
      <c r="E28" s="234" t="s">
        <v>8682</v>
      </c>
      <c r="F28" s="234" t="s">
        <v>8683</v>
      </c>
      <c r="G28" s="224" t="s">
        <v>608</v>
      </c>
      <c r="H28" s="224" t="s">
        <v>608</v>
      </c>
      <c r="I28" s="234" t="s">
        <v>8684</v>
      </c>
      <c r="J28" s="224" t="s">
        <v>8685</v>
      </c>
      <c r="K28" s="233" t="s">
        <v>8686</v>
      </c>
      <c r="L28" s="222" t="s">
        <v>8557</v>
      </c>
      <c r="M28" s="6" t="s">
        <v>8694</v>
      </c>
      <c r="N28" s="28" t="s">
        <v>608</v>
      </c>
      <c r="O28" s="28" t="s">
        <v>608</v>
      </c>
      <c r="P28" s="28" t="s">
        <v>8687</v>
      </c>
      <c r="Q28" s="222" t="s">
        <v>6461</v>
      </c>
    </row>
    <row r="29" customFormat="false" ht="29.25" hidden="false" customHeight="true" outlineLevel="0" collapsed="false">
      <c r="A29" s="224" t="s">
        <v>6523</v>
      </c>
      <c r="B29" s="224" t="s">
        <v>5864</v>
      </c>
      <c r="C29" s="233" t="s">
        <v>8695</v>
      </c>
      <c r="D29" s="224" t="s">
        <v>6524</v>
      </c>
      <c r="E29" s="234" t="s">
        <v>8682</v>
      </c>
      <c r="F29" s="234" t="s">
        <v>8683</v>
      </c>
      <c r="G29" s="224" t="s">
        <v>608</v>
      </c>
      <c r="H29" s="224" t="s">
        <v>608</v>
      </c>
      <c r="I29" s="234" t="s">
        <v>8684</v>
      </c>
      <c r="J29" s="224" t="s">
        <v>8685</v>
      </c>
      <c r="K29" s="233" t="s">
        <v>8686</v>
      </c>
      <c r="L29" s="222" t="s">
        <v>8557</v>
      </c>
      <c r="M29" s="6" t="s">
        <v>6518</v>
      </c>
      <c r="N29" s="28" t="s">
        <v>608</v>
      </c>
      <c r="O29" s="28" t="s">
        <v>608</v>
      </c>
      <c r="P29" s="28" t="s">
        <v>8687</v>
      </c>
      <c r="Q29" s="222" t="s">
        <v>6461</v>
      </c>
    </row>
    <row r="30" customFormat="false" ht="29.25" hidden="false" customHeight="true" outlineLevel="0" collapsed="false">
      <c r="A30" s="224" t="s">
        <v>8696</v>
      </c>
      <c r="B30" s="224" t="s">
        <v>5864</v>
      </c>
      <c r="C30" s="233" t="s">
        <v>8697</v>
      </c>
      <c r="D30" s="224" t="s">
        <v>6531</v>
      </c>
      <c r="E30" s="234" t="s">
        <v>8682</v>
      </c>
      <c r="F30" s="234" t="s">
        <v>8683</v>
      </c>
      <c r="G30" s="224" t="s">
        <v>608</v>
      </c>
      <c r="H30" s="224" t="s">
        <v>608</v>
      </c>
      <c r="I30" s="234" t="s">
        <v>8684</v>
      </c>
      <c r="J30" s="224" t="s">
        <v>8685</v>
      </c>
      <c r="K30" s="233" t="s">
        <v>8686</v>
      </c>
      <c r="L30" s="222" t="s">
        <v>8557</v>
      </c>
      <c r="M30" s="6" t="s">
        <v>4102</v>
      </c>
      <c r="N30" s="28" t="s">
        <v>608</v>
      </c>
      <c r="O30" s="28" t="s">
        <v>608</v>
      </c>
      <c r="P30" s="28" t="s">
        <v>8687</v>
      </c>
      <c r="Q30" s="222" t="s">
        <v>6461</v>
      </c>
    </row>
    <row r="31" customFormat="false" ht="29.25" hidden="false" customHeight="true" outlineLevel="0" collapsed="false">
      <c r="A31" s="224" t="s">
        <v>6545</v>
      </c>
      <c r="B31" s="224" t="s">
        <v>5864</v>
      </c>
      <c r="C31" s="233" t="s">
        <v>8698</v>
      </c>
      <c r="D31" s="224" t="s">
        <v>6539</v>
      </c>
      <c r="E31" s="234" t="s">
        <v>8682</v>
      </c>
      <c r="F31" s="234" t="s">
        <v>8683</v>
      </c>
      <c r="G31" s="224" t="s">
        <v>608</v>
      </c>
      <c r="H31" s="224" t="s">
        <v>608</v>
      </c>
      <c r="I31" s="234" t="s">
        <v>8684</v>
      </c>
      <c r="J31" s="224" t="s">
        <v>8685</v>
      </c>
      <c r="K31" s="233" t="s">
        <v>8686</v>
      </c>
      <c r="L31" s="222" t="s">
        <v>8557</v>
      </c>
      <c r="M31" s="6" t="s">
        <v>8699</v>
      </c>
      <c r="N31" s="28" t="s">
        <v>608</v>
      </c>
      <c r="O31" s="28" t="s">
        <v>608</v>
      </c>
      <c r="P31" s="28" t="s">
        <v>8687</v>
      </c>
      <c r="Q31" s="222" t="s">
        <v>6461</v>
      </c>
    </row>
    <row r="32" customFormat="false" ht="29.25" hidden="false" customHeight="true" outlineLevel="0" collapsed="false">
      <c r="A32" s="224" t="s">
        <v>8700</v>
      </c>
      <c r="B32" s="224" t="s">
        <v>5864</v>
      </c>
      <c r="C32" s="233" t="s">
        <v>8701</v>
      </c>
      <c r="D32" s="224" t="s">
        <v>6561</v>
      </c>
      <c r="E32" s="234" t="s">
        <v>8682</v>
      </c>
      <c r="F32" s="234" t="s">
        <v>8683</v>
      </c>
      <c r="G32" s="224" t="s">
        <v>608</v>
      </c>
      <c r="H32" s="224" t="s">
        <v>608</v>
      </c>
      <c r="I32" s="234" t="s">
        <v>8684</v>
      </c>
      <c r="J32" s="224" t="s">
        <v>8685</v>
      </c>
      <c r="K32" s="233" t="s">
        <v>8686</v>
      </c>
      <c r="L32" s="222" t="s">
        <v>8557</v>
      </c>
      <c r="M32" s="6" t="s">
        <v>4038</v>
      </c>
      <c r="N32" s="28" t="s">
        <v>608</v>
      </c>
      <c r="O32" s="28" t="s">
        <v>608</v>
      </c>
      <c r="P32" s="28" t="s">
        <v>8687</v>
      </c>
      <c r="Q32" s="222" t="s">
        <v>6461</v>
      </c>
    </row>
    <row r="33" customFormat="false" ht="29.25" hidden="false" customHeight="true" outlineLevel="0" collapsed="false">
      <c r="A33" s="224" t="s">
        <v>6578</v>
      </c>
      <c r="B33" s="224" t="s">
        <v>5864</v>
      </c>
      <c r="C33" s="233" t="s">
        <v>8702</v>
      </c>
      <c r="D33" s="224" t="s">
        <v>6571</v>
      </c>
      <c r="E33" s="234" t="s">
        <v>8682</v>
      </c>
      <c r="F33" s="234" t="s">
        <v>8683</v>
      </c>
      <c r="G33" s="224" t="s">
        <v>608</v>
      </c>
      <c r="H33" s="224" t="s">
        <v>608</v>
      </c>
      <c r="I33" s="234" t="s">
        <v>8684</v>
      </c>
      <c r="J33" s="224" t="s">
        <v>8685</v>
      </c>
      <c r="K33" s="233" t="s">
        <v>8686</v>
      </c>
      <c r="L33" s="222" t="s">
        <v>8557</v>
      </c>
      <c r="M33" s="6" t="s">
        <v>8703</v>
      </c>
      <c r="N33" s="28" t="s">
        <v>608</v>
      </c>
      <c r="O33" s="28" t="s">
        <v>608</v>
      </c>
      <c r="P33" s="28" t="s">
        <v>8687</v>
      </c>
      <c r="Q33" s="222" t="s">
        <v>6568</v>
      </c>
    </row>
    <row r="34" customFormat="false" ht="29.25" hidden="false" customHeight="true" outlineLevel="0" collapsed="false">
      <c r="A34" s="224" t="s">
        <v>6591</v>
      </c>
      <c r="B34" s="224" t="s">
        <v>5864</v>
      </c>
      <c r="C34" s="233" t="s">
        <v>8704</v>
      </c>
      <c r="D34" s="224" t="s">
        <v>6592</v>
      </c>
      <c r="E34" s="234" t="s">
        <v>8682</v>
      </c>
      <c r="F34" s="234" t="s">
        <v>8683</v>
      </c>
      <c r="G34" s="224" t="s">
        <v>608</v>
      </c>
      <c r="H34" s="224" t="s">
        <v>608</v>
      </c>
      <c r="I34" s="234" t="s">
        <v>8684</v>
      </c>
      <c r="J34" s="224" t="s">
        <v>8685</v>
      </c>
      <c r="K34" s="233" t="s">
        <v>8686</v>
      </c>
      <c r="L34" s="222" t="s">
        <v>8557</v>
      </c>
      <c r="M34" s="6" t="s">
        <v>6587</v>
      </c>
      <c r="N34" s="28" t="s">
        <v>608</v>
      </c>
      <c r="O34" s="28" t="s">
        <v>608</v>
      </c>
      <c r="P34" s="28" t="s">
        <v>8687</v>
      </c>
      <c r="Q34" s="222" t="s">
        <v>6461</v>
      </c>
    </row>
    <row r="35" customFormat="false" ht="97.5" hidden="false" customHeight="true" outlineLevel="0" collapsed="false">
      <c r="A35" s="224" t="s">
        <v>6600</v>
      </c>
      <c r="B35" s="224" t="s">
        <v>5864</v>
      </c>
      <c r="C35" s="233" t="s">
        <v>8705</v>
      </c>
      <c r="D35" s="224" t="s">
        <v>6601</v>
      </c>
      <c r="E35" s="234" t="s">
        <v>8682</v>
      </c>
      <c r="F35" s="234" t="s">
        <v>8683</v>
      </c>
      <c r="G35" s="224" t="s">
        <v>608</v>
      </c>
      <c r="H35" s="224" t="s">
        <v>608</v>
      </c>
      <c r="I35" s="234" t="s">
        <v>8684</v>
      </c>
      <c r="J35" s="224" t="s">
        <v>8685</v>
      </c>
      <c r="K35" s="233" t="s">
        <v>8686</v>
      </c>
      <c r="L35" s="222" t="s">
        <v>8557</v>
      </c>
      <c r="M35" s="6" t="s">
        <v>8706</v>
      </c>
      <c r="N35" s="28" t="s">
        <v>608</v>
      </c>
      <c r="O35" s="28" t="s">
        <v>608</v>
      </c>
      <c r="P35" s="28" t="s">
        <v>8687</v>
      </c>
      <c r="Q35" s="222" t="s">
        <v>6461</v>
      </c>
    </row>
    <row r="36" customFormat="false" ht="29.25" hidden="false" customHeight="true" outlineLevel="0" collapsed="false">
      <c r="A36" s="224" t="s">
        <v>6649</v>
      </c>
      <c r="B36" s="224" t="s">
        <v>5864</v>
      </c>
      <c r="C36" s="233" t="s">
        <v>8707</v>
      </c>
      <c r="D36" s="224" t="s">
        <v>6650</v>
      </c>
      <c r="E36" s="234" t="s">
        <v>8682</v>
      </c>
      <c r="F36" s="234" t="s">
        <v>8683</v>
      </c>
      <c r="G36" s="224" t="s">
        <v>608</v>
      </c>
      <c r="H36" s="224" t="s">
        <v>608</v>
      </c>
      <c r="I36" s="234" t="s">
        <v>8684</v>
      </c>
      <c r="J36" s="224" t="s">
        <v>8685</v>
      </c>
      <c r="K36" s="233" t="s">
        <v>8686</v>
      </c>
      <c r="L36" s="222" t="s">
        <v>8557</v>
      </c>
      <c r="M36" s="6" t="s">
        <v>8708</v>
      </c>
      <c r="N36" s="28" t="s">
        <v>608</v>
      </c>
      <c r="O36" s="28" t="s">
        <v>608</v>
      </c>
      <c r="P36" s="28" t="s">
        <v>8687</v>
      </c>
      <c r="Q36" s="222" t="s">
        <v>6568</v>
      </c>
    </row>
    <row r="37" customFormat="false" ht="29.25" hidden="false" customHeight="true" outlineLevel="0" collapsed="false">
      <c r="A37" s="224" t="s">
        <v>8709</v>
      </c>
      <c r="B37" s="224" t="s">
        <v>5864</v>
      </c>
      <c r="C37" s="233" t="s">
        <v>8710</v>
      </c>
      <c r="D37" s="224" t="s">
        <v>6669</v>
      </c>
      <c r="E37" s="234" t="s">
        <v>8682</v>
      </c>
      <c r="F37" s="234" t="s">
        <v>8683</v>
      </c>
      <c r="G37" s="224" t="s">
        <v>608</v>
      </c>
      <c r="H37" s="224" t="s">
        <v>608</v>
      </c>
      <c r="I37" s="234" t="s">
        <v>8684</v>
      </c>
      <c r="J37" s="224" t="s">
        <v>8685</v>
      </c>
      <c r="K37" s="233" t="s">
        <v>8686</v>
      </c>
      <c r="L37" s="222" t="s">
        <v>8557</v>
      </c>
      <c r="M37" s="6" t="s">
        <v>8569</v>
      </c>
      <c r="N37" s="28" t="s">
        <v>608</v>
      </c>
      <c r="O37" s="28" t="s">
        <v>608</v>
      </c>
      <c r="P37" s="28" t="s">
        <v>8711</v>
      </c>
      <c r="Q37" s="222" t="s">
        <v>6461</v>
      </c>
    </row>
    <row r="38" customFormat="false" ht="29.25" hidden="false" customHeight="true" outlineLevel="0" collapsed="false">
      <c r="A38" s="224" t="s">
        <v>8712</v>
      </c>
      <c r="B38" s="224" t="s">
        <v>5864</v>
      </c>
      <c r="C38" s="233" t="s">
        <v>8713</v>
      </c>
      <c r="D38" s="224" t="s">
        <v>6685</v>
      </c>
      <c r="E38" s="234" t="s">
        <v>8682</v>
      </c>
      <c r="F38" s="234" t="s">
        <v>8683</v>
      </c>
      <c r="G38" s="224" t="s">
        <v>608</v>
      </c>
      <c r="H38" s="224" t="s">
        <v>608</v>
      </c>
      <c r="I38" s="234" t="s">
        <v>8684</v>
      </c>
      <c r="J38" s="224" t="s">
        <v>8685</v>
      </c>
      <c r="K38" s="233" t="s">
        <v>8686</v>
      </c>
      <c r="L38" s="222" t="s">
        <v>8557</v>
      </c>
      <c r="M38" s="6" t="s">
        <v>4114</v>
      </c>
      <c r="N38" s="28" t="s">
        <v>608</v>
      </c>
      <c r="O38" s="28" t="s">
        <v>608</v>
      </c>
      <c r="P38" s="28" t="s">
        <v>8687</v>
      </c>
      <c r="Q38" s="222" t="s">
        <v>6461</v>
      </c>
    </row>
    <row r="39" customFormat="false" ht="72" hidden="false" customHeight="true" outlineLevel="0" collapsed="false">
      <c r="A39" s="224" t="s">
        <v>6692</v>
      </c>
      <c r="B39" s="224" t="s">
        <v>5864</v>
      </c>
      <c r="C39" s="233" t="s">
        <v>8714</v>
      </c>
      <c r="D39" s="224" t="s">
        <v>6693</v>
      </c>
      <c r="E39" s="234" t="s">
        <v>8682</v>
      </c>
      <c r="F39" s="234" t="s">
        <v>8683</v>
      </c>
      <c r="G39" s="224" t="s">
        <v>608</v>
      </c>
      <c r="H39" s="224" t="s">
        <v>608</v>
      </c>
      <c r="I39" s="234" t="s">
        <v>8684</v>
      </c>
      <c r="J39" s="224" t="s">
        <v>8685</v>
      </c>
      <c r="K39" s="233" t="s">
        <v>8686</v>
      </c>
      <c r="L39" s="222" t="s">
        <v>8557</v>
      </c>
      <c r="M39" s="6" t="s">
        <v>8715</v>
      </c>
      <c r="N39" s="28" t="s">
        <v>608</v>
      </c>
      <c r="O39" s="28" t="s">
        <v>608</v>
      </c>
      <c r="P39" s="28" t="s">
        <v>8687</v>
      </c>
      <c r="Q39" s="222" t="s">
        <v>6461</v>
      </c>
    </row>
    <row r="40" customFormat="false" ht="29.25" hidden="false" customHeight="true" outlineLevel="0" collapsed="false">
      <c r="A40" s="224" t="s">
        <v>6737</v>
      </c>
      <c r="B40" s="224" t="s">
        <v>5864</v>
      </c>
      <c r="C40" s="233" t="s">
        <v>8716</v>
      </c>
      <c r="D40" s="224" t="s">
        <v>6738</v>
      </c>
      <c r="E40" s="234" t="s">
        <v>8682</v>
      </c>
      <c r="F40" s="234" t="s">
        <v>8683</v>
      </c>
      <c r="G40" s="224" t="s">
        <v>608</v>
      </c>
      <c r="H40" s="224" t="s">
        <v>608</v>
      </c>
      <c r="I40" s="234" t="s">
        <v>8684</v>
      </c>
      <c r="J40" s="224" t="s">
        <v>8685</v>
      </c>
      <c r="K40" s="233" t="s">
        <v>8686</v>
      </c>
      <c r="L40" s="222" t="s">
        <v>8557</v>
      </c>
      <c r="M40" s="6" t="s">
        <v>8717</v>
      </c>
      <c r="N40" s="28" t="s">
        <v>608</v>
      </c>
      <c r="O40" s="28" t="s">
        <v>608</v>
      </c>
      <c r="P40" s="28" t="s">
        <v>8687</v>
      </c>
      <c r="Q40" s="222" t="s">
        <v>6568</v>
      </c>
    </row>
    <row r="41" customFormat="false" ht="29.25" hidden="false" customHeight="true" outlineLevel="0" collapsed="false">
      <c r="A41" s="224" t="s">
        <v>6829</v>
      </c>
      <c r="B41" s="224" t="s">
        <v>5864</v>
      </c>
      <c r="C41" s="233" t="s">
        <v>8718</v>
      </c>
      <c r="D41" s="224" t="s">
        <v>6830</v>
      </c>
      <c r="E41" s="234" t="s">
        <v>8682</v>
      </c>
      <c r="F41" s="234" t="s">
        <v>8683</v>
      </c>
      <c r="G41" s="224" t="s">
        <v>608</v>
      </c>
      <c r="H41" s="224" t="s">
        <v>608</v>
      </c>
      <c r="I41" s="234" t="s">
        <v>8684</v>
      </c>
      <c r="J41" s="224" t="s">
        <v>8685</v>
      </c>
      <c r="K41" s="233" t="s">
        <v>8686</v>
      </c>
      <c r="L41" s="222" t="s">
        <v>8557</v>
      </c>
      <c r="M41" s="6" t="s">
        <v>8719</v>
      </c>
      <c r="N41" s="28" t="s">
        <v>608</v>
      </c>
      <c r="O41" s="28" t="s">
        <v>608</v>
      </c>
      <c r="P41" s="28" t="s">
        <v>8687</v>
      </c>
      <c r="Q41" s="222" t="s">
        <v>6461</v>
      </c>
    </row>
    <row r="42" customFormat="false" ht="29.25" hidden="false" customHeight="true" outlineLevel="0" collapsed="false">
      <c r="A42" s="224" t="s">
        <v>4751</v>
      </c>
      <c r="B42" s="224" t="s">
        <v>5864</v>
      </c>
      <c r="C42" s="233" t="s">
        <v>8720</v>
      </c>
      <c r="D42" s="224" t="s">
        <v>6842</v>
      </c>
      <c r="E42" s="234" t="s">
        <v>8682</v>
      </c>
      <c r="F42" s="234" t="s">
        <v>8683</v>
      </c>
      <c r="G42" s="224" t="s">
        <v>608</v>
      </c>
      <c r="H42" s="224" t="s">
        <v>608</v>
      </c>
      <c r="I42" s="234" t="s">
        <v>8684</v>
      </c>
      <c r="J42" s="224" t="s">
        <v>8685</v>
      </c>
      <c r="K42" s="233" t="s">
        <v>8686</v>
      </c>
      <c r="L42" s="222" t="s">
        <v>8557</v>
      </c>
      <c r="M42" s="6" t="s">
        <v>8721</v>
      </c>
      <c r="N42" s="28" t="s">
        <v>608</v>
      </c>
      <c r="O42" s="28" t="s">
        <v>608</v>
      </c>
      <c r="P42" s="28" t="s">
        <v>8687</v>
      </c>
      <c r="Q42" s="222" t="s">
        <v>6568</v>
      </c>
    </row>
    <row r="43" customFormat="false" ht="29.25" hidden="false" customHeight="true" outlineLevel="0" collapsed="false">
      <c r="A43" s="224" t="s">
        <v>4763</v>
      </c>
      <c r="B43" s="224" t="s">
        <v>5864</v>
      </c>
      <c r="C43" s="233" t="s">
        <v>8722</v>
      </c>
      <c r="D43" s="224" t="s">
        <v>6855</v>
      </c>
      <c r="E43" s="234" t="s">
        <v>8682</v>
      </c>
      <c r="F43" s="234" t="s">
        <v>8683</v>
      </c>
      <c r="G43" s="224" t="s">
        <v>608</v>
      </c>
      <c r="H43" s="224" t="s">
        <v>608</v>
      </c>
      <c r="I43" s="234" t="s">
        <v>8684</v>
      </c>
      <c r="J43" s="224" t="s">
        <v>8685</v>
      </c>
      <c r="K43" s="233" t="s">
        <v>8686</v>
      </c>
      <c r="L43" s="222" t="s">
        <v>8557</v>
      </c>
      <c r="M43" s="6" t="s">
        <v>8723</v>
      </c>
      <c r="N43" s="28" t="s">
        <v>608</v>
      </c>
      <c r="O43" s="28" t="s">
        <v>608</v>
      </c>
      <c r="P43" s="28" t="s">
        <v>8711</v>
      </c>
      <c r="Q43" s="222" t="s">
        <v>6568</v>
      </c>
    </row>
    <row r="44" customFormat="false" ht="29.25" hidden="false" customHeight="true" outlineLevel="0" collapsed="false">
      <c r="A44" s="224" t="s">
        <v>4775</v>
      </c>
      <c r="B44" s="224" t="s">
        <v>5864</v>
      </c>
      <c r="C44" s="233" t="s">
        <v>8724</v>
      </c>
      <c r="D44" s="224" t="s">
        <v>6864</v>
      </c>
      <c r="E44" s="234" t="s">
        <v>8682</v>
      </c>
      <c r="F44" s="234" t="s">
        <v>8683</v>
      </c>
      <c r="G44" s="224" t="s">
        <v>608</v>
      </c>
      <c r="H44" s="224" t="s">
        <v>608</v>
      </c>
      <c r="I44" s="234" t="s">
        <v>8684</v>
      </c>
      <c r="J44" s="224" t="s">
        <v>8685</v>
      </c>
      <c r="K44" s="233" t="s">
        <v>8686</v>
      </c>
      <c r="L44" s="222" t="s">
        <v>8557</v>
      </c>
      <c r="M44" s="6" t="s">
        <v>8725</v>
      </c>
      <c r="N44" s="28" t="s">
        <v>608</v>
      </c>
      <c r="O44" s="28" t="s">
        <v>608</v>
      </c>
      <c r="P44" s="28" t="s">
        <v>8711</v>
      </c>
      <c r="Q44" s="222" t="s">
        <v>6461</v>
      </c>
    </row>
    <row r="45" customFormat="false" ht="29.25" hidden="false" customHeight="true" outlineLevel="0" collapsed="false">
      <c r="A45" s="224" t="s">
        <v>6878</v>
      </c>
      <c r="B45" s="224" t="s">
        <v>5864</v>
      </c>
      <c r="C45" s="233" t="s">
        <v>8726</v>
      </c>
      <c r="D45" s="224" t="s">
        <v>6879</v>
      </c>
      <c r="E45" s="234" t="s">
        <v>8682</v>
      </c>
      <c r="F45" s="234" t="s">
        <v>8683</v>
      </c>
      <c r="G45" s="224" t="s">
        <v>608</v>
      </c>
      <c r="H45" s="224" t="s">
        <v>608</v>
      </c>
      <c r="I45" s="234" t="s">
        <v>8684</v>
      </c>
      <c r="J45" s="224" t="s">
        <v>8685</v>
      </c>
      <c r="K45" s="233" t="s">
        <v>8686</v>
      </c>
      <c r="L45" s="222" t="s">
        <v>8557</v>
      </c>
      <c r="M45" s="6" t="s">
        <v>8727</v>
      </c>
      <c r="N45" s="28" t="s">
        <v>608</v>
      </c>
      <c r="O45" s="28" t="s">
        <v>608</v>
      </c>
      <c r="P45" s="28" t="s">
        <v>8687</v>
      </c>
      <c r="Q45" s="222" t="s">
        <v>6461</v>
      </c>
    </row>
    <row r="46" customFormat="false" ht="29.25" hidden="false" customHeight="true" outlineLevel="0" collapsed="false">
      <c r="A46" s="224" t="s">
        <v>6888</v>
      </c>
      <c r="B46" s="224" t="s">
        <v>5864</v>
      </c>
      <c r="C46" s="233" t="s">
        <v>8728</v>
      </c>
      <c r="D46" s="224" t="s">
        <v>6889</v>
      </c>
      <c r="E46" s="234" t="s">
        <v>8682</v>
      </c>
      <c r="F46" s="234" t="s">
        <v>8683</v>
      </c>
      <c r="G46" s="224" t="s">
        <v>608</v>
      </c>
      <c r="H46" s="224" t="s">
        <v>608</v>
      </c>
      <c r="I46" s="234" t="s">
        <v>8684</v>
      </c>
      <c r="J46" s="224" t="s">
        <v>8685</v>
      </c>
      <c r="K46" s="233" t="s">
        <v>8686</v>
      </c>
      <c r="L46" s="222" t="s">
        <v>8557</v>
      </c>
      <c r="M46" s="6" t="s">
        <v>8729</v>
      </c>
      <c r="N46" s="28" t="s">
        <v>608</v>
      </c>
      <c r="O46" s="28" t="s">
        <v>608</v>
      </c>
      <c r="P46" s="28" t="s">
        <v>8711</v>
      </c>
      <c r="Q46" s="222" t="s">
        <v>6461</v>
      </c>
    </row>
    <row r="47" customFormat="false" ht="54.75" hidden="false" customHeight="true" outlineLevel="0" collapsed="false">
      <c r="A47" s="224" t="s">
        <v>6935</v>
      </c>
      <c r="B47" s="224" t="s">
        <v>5864</v>
      </c>
      <c r="C47" s="233" t="s">
        <v>8730</v>
      </c>
      <c r="D47" s="224" t="s">
        <v>3561</v>
      </c>
      <c r="E47" s="234" t="s">
        <v>8682</v>
      </c>
      <c r="F47" s="234" t="s">
        <v>8683</v>
      </c>
      <c r="G47" s="224" t="s">
        <v>608</v>
      </c>
      <c r="H47" s="224" t="s">
        <v>608</v>
      </c>
      <c r="I47" s="234" t="s">
        <v>8684</v>
      </c>
      <c r="J47" s="224" t="s">
        <v>8685</v>
      </c>
      <c r="K47" s="233" t="s">
        <v>8686</v>
      </c>
      <c r="L47" s="222" t="s">
        <v>8557</v>
      </c>
      <c r="M47" s="6" t="s">
        <v>8731</v>
      </c>
      <c r="N47" s="28" t="s">
        <v>608</v>
      </c>
      <c r="O47" s="28" t="s">
        <v>608</v>
      </c>
      <c r="P47" s="28" t="s">
        <v>8687</v>
      </c>
      <c r="Q47" s="222" t="s">
        <v>6461</v>
      </c>
    </row>
    <row r="48" customFormat="false" ht="168" hidden="false" customHeight="true" outlineLevel="0" collapsed="false">
      <c r="A48" s="224" t="s">
        <v>6964</v>
      </c>
      <c r="B48" s="224" t="s">
        <v>5864</v>
      </c>
      <c r="C48" s="233" t="s">
        <v>8732</v>
      </c>
      <c r="D48" s="224" t="s">
        <v>6959</v>
      </c>
      <c r="E48" s="234" t="s">
        <v>8682</v>
      </c>
      <c r="F48" s="234" t="s">
        <v>8683</v>
      </c>
      <c r="G48" s="224" t="s">
        <v>608</v>
      </c>
      <c r="H48" s="224" t="s">
        <v>608</v>
      </c>
      <c r="I48" s="234" t="s">
        <v>8684</v>
      </c>
      <c r="J48" s="224" t="s">
        <v>8685</v>
      </c>
      <c r="K48" s="233" t="s">
        <v>8686</v>
      </c>
      <c r="L48" s="222" t="s">
        <v>8557</v>
      </c>
      <c r="M48" s="6" t="s">
        <v>8733</v>
      </c>
      <c r="N48" s="28" t="s">
        <v>608</v>
      </c>
      <c r="O48" s="28" t="s">
        <v>608</v>
      </c>
      <c r="P48" s="28" t="s">
        <v>8687</v>
      </c>
      <c r="Q48" s="222" t="s">
        <v>6461</v>
      </c>
    </row>
    <row r="49" customFormat="false" ht="40.5" hidden="false" customHeight="true" outlineLevel="0" collapsed="false">
      <c r="A49" s="224" t="s">
        <v>8734</v>
      </c>
      <c r="B49" s="224" t="s">
        <v>5864</v>
      </c>
      <c r="C49" s="233" t="s">
        <v>8735</v>
      </c>
      <c r="D49" s="224" t="s">
        <v>7040</v>
      </c>
      <c r="E49" s="234" t="s">
        <v>8682</v>
      </c>
      <c r="F49" s="234" t="s">
        <v>8683</v>
      </c>
      <c r="G49" s="224" t="s">
        <v>608</v>
      </c>
      <c r="H49" s="224" t="s">
        <v>608</v>
      </c>
      <c r="I49" s="234" t="s">
        <v>8684</v>
      </c>
      <c r="J49" s="224" t="s">
        <v>8685</v>
      </c>
      <c r="K49" s="233" t="s">
        <v>8686</v>
      </c>
      <c r="L49" s="222" t="s">
        <v>8557</v>
      </c>
      <c r="M49" s="6" t="s">
        <v>8564</v>
      </c>
      <c r="N49" s="28" t="s">
        <v>608</v>
      </c>
      <c r="O49" s="28" t="s">
        <v>608</v>
      </c>
      <c r="P49" s="28" t="s">
        <v>8736</v>
      </c>
      <c r="Q49" s="222" t="s">
        <v>6461</v>
      </c>
    </row>
    <row r="50" customFormat="false" ht="29.25" hidden="false" customHeight="true" outlineLevel="0" collapsed="false">
      <c r="A50" s="224" t="s">
        <v>8737</v>
      </c>
      <c r="B50" s="224" t="s">
        <v>5864</v>
      </c>
      <c r="C50" s="233" t="s">
        <v>8738</v>
      </c>
      <c r="D50" s="224" t="s">
        <v>7058</v>
      </c>
      <c r="E50" s="234" t="s">
        <v>8682</v>
      </c>
      <c r="F50" s="234" t="s">
        <v>8683</v>
      </c>
      <c r="G50" s="224" t="s">
        <v>608</v>
      </c>
      <c r="H50" s="224" t="s">
        <v>608</v>
      </c>
      <c r="I50" s="234" t="s">
        <v>8684</v>
      </c>
      <c r="J50" s="224" t="s">
        <v>8685</v>
      </c>
      <c r="K50" s="233" t="s">
        <v>8686</v>
      </c>
      <c r="L50" s="222" t="s">
        <v>8557</v>
      </c>
      <c r="M50" s="6" t="s">
        <v>5312</v>
      </c>
      <c r="N50" s="28" t="s">
        <v>608</v>
      </c>
      <c r="O50" s="28" t="s">
        <v>608</v>
      </c>
      <c r="P50" s="28" t="s">
        <v>8736</v>
      </c>
      <c r="Q50" s="222" t="s">
        <v>6568</v>
      </c>
    </row>
    <row r="51" customFormat="false" ht="29.25" hidden="false" customHeight="true" outlineLevel="0" collapsed="false">
      <c r="A51" s="224" t="s">
        <v>7068</v>
      </c>
      <c r="B51" s="224" t="s">
        <v>5864</v>
      </c>
      <c r="C51" s="233" t="s">
        <v>8739</v>
      </c>
      <c r="D51" s="224" t="s">
        <v>7069</v>
      </c>
      <c r="E51" s="234" t="s">
        <v>8682</v>
      </c>
      <c r="F51" s="234" t="s">
        <v>8683</v>
      </c>
      <c r="G51" s="224" t="s">
        <v>608</v>
      </c>
      <c r="H51" s="224" t="s">
        <v>608</v>
      </c>
      <c r="I51" s="234" t="s">
        <v>8684</v>
      </c>
      <c r="J51" s="224" t="s">
        <v>8685</v>
      </c>
      <c r="K51" s="233" t="s">
        <v>8686</v>
      </c>
      <c r="L51" s="222" t="s">
        <v>8557</v>
      </c>
      <c r="M51" s="6" t="s">
        <v>2864</v>
      </c>
      <c r="N51" s="28" t="s">
        <v>608</v>
      </c>
      <c r="O51" s="28" t="s">
        <v>608</v>
      </c>
      <c r="P51" s="28" t="s">
        <v>8711</v>
      </c>
      <c r="Q51" s="222" t="s">
        <v>6461</v>
      </c>
    </row>
    <row r="52" customFormat="false" ht="29.25" hidden="false" customHeight="true" outlineLevel="0" collapsed="false">
      <c r="A52" s="224" t="s">
        <v>7080</v>
      </c>
      <c r="B52" s="224" t="s">
        <v>5864</v>
      </c>
      <c r="C52" s="233" t="s">
        <v>8740</v>
      </c>
      <c r="D52" s="224" t="s">
        <v>7081</v>
      </c>
      <c r="E52" s="234" t="s">
        <v>8682</v>
      </c>
      <c r="F52" s="234" t="s">
        <v>8683</v>
      </c>
      <c r="G52" s="224" t="s">
        <v>608</v>
      </c>
      <c r="H52" s="224" t="s">
        <v>608</v>
      </c>
      <c r="I52" s="234" t="s">
        <v>8684</v>
      </c>
      <c r="J52" s="224" t="s">
        <v>8685</v>
      </c>
      <c r="K52" s="233" t="s">
        <v>8686</v>
      </c>
      <c r="L52" s="222" t="s">
        <v>8557</v>
      </c>
      <c r="M52" s="6" t="s">
        <v>7072</v>
      </c>
      <c r="N52" s="28" t="s">
        <v>608</v>
      </c>
      <c r="O52" s="28" t="s">
        <v>608</v>
      </c>
      <c r="P52" s="28" t="s">
        <v>8711</v>
      </c>
      <c r="Q52" s="222" t="s">
        <v>6461</v>
      </c>
    </row>
    <row r="53" customFormat="false" ht="29.25" hidden="false" customHeight="true" outlineLevel="0" collapsed="false">
      <c r="A53" s="224" t="s">
        <v>8741</v>
      </c>
      <c r="B53" s="224" t="s">
        <v>5864</v>
      </c>
      <c r="C53" s="233" t="s">
        <v>8742</v>
      </c>
      <c r="D53" s="224" t="s">
        <v>7089</v>
      </c>
      <c r="E53" s="234" t="s">
        <v>8682</v>
      </c>
      <c r="F53" s="234" t="s">
        <v>8683</v>
      </c>
      <c r="G53" s="224" t="s">
        <v>608</v>
      </c>
      <c r="H53" s="224" t="s">
        <v>608</v>
      </c>
      <c r="I53" s="234" t="s">
        <v>8684</v>
      </c>
      <c r="J53" s="224" t="s">
        <v>8685</v>
      </c>
      <c r="K53" s="233" t="s">
        <v>8686</v>
      </c>
      <c r="L53" s="222" t="s">
        <v>8557</v>
      </c>
      <c r="M53" s="6" t="s">
        <v>8583</v>
      </c>
      <c r="N53" s="28" t="s">
        <v>608</v>
      </c>
      <c r="O53" s="28" t="s">
        <v>608</v>
      </c>
      <c r="P53" s="28" t="s">
        <v>8736</v>
      </c>
      <c r="Q53" s="222" t="s">
        <v>6461</v>
      </c>
    </row>
    <row r="54" customFormat="false" ht="40.5" hidden="false" customHeight="true" outlineLevel="0" collapsed="false">
      <c r="A54" s="224" t="s">
        <v>7102</v>
      </c>
      <c r="B54" s="224" t="s">
        <v>5864</v>
      </c>
      <c r="C54" s="233" t="s">
        <v>8743</v>
      </c>
      <c r="D54" s="224" t="s">
        <v>973</v>
      </c>
      <c r="E54" s="234" t="s">
        <v>8682</v>
      </c>
      <c r="F54" s="234" t="s">
        <v>8683</v>
      </c>
      <c r="G54" s="224" t="s">
        <v>608</v>
      </c>
      <c r="H54" s="224" t="s">
        <v>608</v>
      </c>
      <c r="I54" s="234" t="s">
        <v>8684</v>
      </c>
      <c r="J54" s="224" t="s">
        <v>8685</v>
      </c>
      <c r="K54" s="233" t="s">
        <v>8686</v>
      </c>
      <c r="L54" s="222" t="s">
        <v>8557</v>
      </c>
      <c r="M54" s="6" t="s">
        <v>8744</v>
      </c>
      <c r="N54" s="28" t="s">
        <v>608</v>
      </c>
      <c r="O54" s="28" t="s">
        <v>608</v>
      </c>
      <c r="P54" s="28" t="s">
        <v>8687</v>
      </c>
      <c r="Q54" s="222" t="s">
        <v>6461</v>
      </c>
    </row>
    <row r="55" customFormat="false" ht="29.25" hidden="false" customHeight="true" outlineLevel="0" collapsed="false">
      <c r="A55" s="224" t="s">
        <v>8745</v>
      </c>
      <c r="B55" s="224" t="s">
        <v>5864</v>
      </c>
      <c r="C55" s="233" t="s">
        <v>8746</v>
      </c>
      <c r="D55" s="224" t="s">
        <v>7118</v>
      </c>
      <c r="E55" s="234" t="s">
        <v>8682</v>
      </c>
      <c r="F55" s="234" t="s">
        <v>8683</v>
      </c>
      <c r="G55" s="224" t="s">
        <v>608</v>
      </c>
      <c r="H55" s="224" t="s">
        <v>608</v>
      </c>
      <c r="I55" s="234" t="s">
        <v>8684</v>
      </c>
      <c r="J55" s="224" t="s">
        <v>8685</v>
      </c>
      <c r="K55" s="233" t="s">
        <v>8686</v>
      </c>
      <c r="L55" s="222" t="s">
        <v>8557</v>
      </c>
      <c r="M55" s="6" t="s">
        <v>4877</v>
      </c>
      <c r="N55" s="28" t="s">
        <v>608</v>
      </c>
      <c r="O55" s="28" t="s">
        <v>608</v>
      </c>
      <c r="P55" s="28" t="s">
        <v>8736</v>
      </c>
      <c r="Q55" s="222" t="s">
        <v>6461</v>
      </c>
    </row>
    <row r="56" customFormat="false" ht="29.25" hidden="false" customHeight="true" outlineLevel="0" collapsed="false">
      <c r="A56" s="224" t="s">
        <v>8747</v>
      </c>
      <c r="B56" s="224" t="s">
        <v>5864</v>
      </c>
      <c r="C56" s="233" t="s">
        <v>8748</v>
      </c>
      <c r="D56" s="224" t="s">
        <v>7128</v>
      </c>
      <c r="E56" s="234" t="s">
        <v>8682</v>
      </c>
      <c r="F56" s="234" t="s">
        <v>8683</v>
      </c>
      <c r="G56" s="224" t="s">
        <v>608</v>
      </c>
      <c r="H56" s="224" t="s">
        <v>608</v>
      </c>
      <c r="I56" s="234" t="s">
        <v>8684</v>
      </c>
      <c r="J56" s="224" t="s">
        <v>8685</v>
      </c>
      <c r="K56" s="233" t="s">
        <v>8686</v>
      </c>
      <c r="L56" s="222" t="s">
        <v>8557</v>
      </c>
      <c r="M56" s="6" t="s">
        <v>7121</v>
      </c>
      <c r="N56" s="28" t="s">
        <v>608</v>
      </c>
      <c r="O56" s="28" t="s">
        <v>608</v>
      </c>
      <c r="P56" s="28" t="s">
        <v>8736</v>
      </c>
      <c r="Q56" s="222" t="s">
        <v>6461</v>
      </c>
    </row>
    <row r="57" customFormat="false" ht="29.25" hidden="false" customHeight="true" outlineLevel="0" collapsed="false">
      <c r="A57" s="224" t="s">
        <v>8749</v>
      </c>
      <c r="B57" s="224" t="s">
        <v>5864</v>
      </c>
      <c r="C57" s="233" t="s">
        <v>8750</v>
      </c>
      <c r="D57" s="224" t="s">
        <v>7133</v>
      </c>
      <c r="E57" s="234" t="s">
        <v>8682</v>
      </c>
      <c r="F57" s="234" t="s">
        <v>8683</v>
      </c>
      <c r="G57" s="224" t="s">
        <v>608</v>
      </c>
      <c r="H57" s="224" t="s">
        <v>608</v>
      </c>
      <c r="I57" s="234" t="s">
        <v>8684</v>
      </c>
      <c r="J57" s="224" t="s">
        <v>8685</v>
      </c>
      <c r="K57" s="233" t="s">
        <v>8686</v>
      </c>
      <c r="L57" s="222" t="s">
        <v>8557</v>
      </c>
      <c r="M57" s="6" t="s">
        <v>8751</v>
      </c>
      <c r="N57" s="28" t="s">
        <v>608</v>
      </c>
      <c r="O57" s="28" t="s">
        <v>608</v>
      </c>
      <c r="P57" s="28" t="s">
        <v>8711</v>
      </c>
      <c r="Q57" s="222" t="s">
        <v>6461</v>
      </c>
    </row>
    <row r="58" customFormat="false" ht="29.25" hidden="false" customHeight="true" outlineLevel="0" collapsed="false">
      <c r="A58" s="224" t="s">
        <v>8752</v>
      </c>
      <c r="B58" s="224" t="s">
        <v>5864</v>
      </c>
      <c r="C58" s="233" t="s">
        <v>8753</v>
      </c>
      <c r="D58" s="224" t="s">
        <v>7142</v>
      </c>
      <c r="E58" s="234" t="s">
        <v>8682</v>
      </c>
      <c r="F58" s="234" t="s">
        <v>8683</v>
      </c>
      <c r="G58" s="224" t="s">
        <v>608</v>
      </c>
      <c r="H58" s="224" t="s">
        <v>608</v>
      </c>
      <c r="I58" s="234" t="s">
        <v>8684</v>
      </c>
      <c r="J58" s="224" t="s">
        <v>8685</v>
      </c>
      <c r="K58" s="233" t="s">
        <v>8686</v>
      </c>
      <c r="L58" s="222" t="s">
        <v>8557</v>
      </c>
      <c r="M58" s="6" t="s">
        <v>8754</v>
      </c>
      <c r="N58" s="28" t="s">
        <v>608</v>
      </c>
      <c r="O58" s="28" t="s">
        <v>608</v>
      </c>
      <c r="P58" s="28" t="s">
        <v>8736</v>
      </c>
      <c r="Q58" s="222" t="s">
        <v>6461</v>
      </c>
    </row>
    <row r="59" customFormat="false" ht="29.25" hidden="false" customHeight="true" outlineLevel="0" collapsed="false">
      <c r="A59" s="224" t="s">
        <v>7221</v>
      </c>
      <c r="B59" s="224" t="s">
        <v>5864</v>
      </c>
      <c r="C59" s="233" t="s">
        <v>8755</v>
      </c>
      <c r="D59" s="224" t="s">
        <v>454</v>
      </c>
      <c r="E59" s="234" t="s">
        <v>8682</v>
      </c>
      <c r="F59" s="234" t="s">
        <v>8683</v>
      </c>
      <c r="G59" s="224" t="s">
        <v>608</v>
      </c>
      <c r="H59" s="224" t="s">
        <v>608</v>
      </c>
      <c r="I59" s="234" t="s">
        <v>8684</v>
      </c>
      <c r="J59" s="224" t="s">
        <v>8685</v>
      </c>
      <c r="K59" s="233" t="s">
        <v>8686</v>
      </c>
      <c r="L59" s="222" t="s">
        <v>8557</v>
      </c>
      <c r="M59" s="6" t="s">
        <v>8756</v>
      </c>
      <c r="N59" s="28" t="s">
        <v>608</v>
      </c>
      <c r="O59" s="28" t="s">
        <v>608</v>
      </c>
      <c r="P59" s="28" t="s">
        <v>8736</v>
      </c>
      <c r="Q59" s="222" t="s">
        <v>6461</v>
      </c>
    </row>
    <row r="60" customFormat="false" ht="43.5" hidden="false" customHeight="true" outlineLevel="0" collapsed="false">
      <c r="A60" s="224" t="s">
        <v>7236</v>
      </c>
      <c r="B60" s="224" t="s">
        <v>5864</v>
      </c>
      <c r="C60" s="233" t="s">
        <v>8757</v>
      </c>
      <c r="D60" s="224" t="s">
        <v>453</v>
      </c>
      <c r="E60" s="234" t="s">
        <v>8682</v>
      </c>
      <c r="F60" s="234" t="s">
        <v>8683</v>
      </c>
      <c r="G60" s="224" t="s">
        <v>608</v>
      </c>
      <c r="H60" s="224" t="s">
        <v>608</v>
      </c>
      <c r="I60" s="234" t="s">
        <v>8684</v>
      </c>
      <c r="J60" s="224" t="s">
        <v>8685</v>
      </c>
      <c r="K60" s="233" t="s">
        <v>8686</v>
      </c>
      <c r="L60" s="222" t="s">
        <v>8557</v>
      </c>
      <c r="M60" s="6" t="s">
        <v>8758</v>
      </c>
      <c r="N60" s="28" t="s">
        <v>608</v>
      </c>
      <c r="O60" s="28" t="s">
        <v>608</v>
      </c>
      <c r="P60" s="28" t="s">
        <v>8736</v>
      </c>
      <c r="Q60" s="222" t="s">
        <v>6461</v>
      </c>
    </row>
    <row r="61" customFormat="false" ht="43.5" hidden="false" customHeight="true" outlineLevel="0" collapsed="false">
      <c r="A61" s="224" t="s">
        <v>7271</v>
      </c>
      <c r="B61" s="224" t="s">
        <v>5864</v>
      </c>
      <c r="C61" s="233" t="s">
        <v>8759</v>
      </c>
      <c r="D61" s="224" t="s">
        <v>452</v>
      </c>
      <c r="E61" s="234" t="s">
        <v>8682</v>
      </c>
      <c r="F61" s="234" t="s">
        <v>8683</v>
      </c>
      <c r="G61" s="224" t="s">
        <v>608</v>
      </c>
      <c r="H61" s="224" t="s">
        <v>608</v>
      </c>
      <c r="I61" s="234" t="s">
        <v>8684</v>
      </c>
      <c r="J61" s="224" t="s">
        <v>8685</v>
      </c>
      <c r="K61" s="233" t="s">
        <v>8686</v>
      </c>
      <c r="L61" s="222" t="s">
        <v>8557</v>
      </c>
      <c r="M61" s="6" t="s">
        <v>8760</v>
      </c>
      <c r="N61" s="28" t="s">
        <v>608</v>
      </c>
      <c r="O61" s="28" t="s">
        <v>608</v>
      </c>
      <c r="P61" s="28" t="s">
        <v>8687</v>
      </c>
      <c r="Q61" s="222" t="s">
        <v>6461</v>
      </c>
    </row>
    <row r="62" customFormat="false" ht="29.25" hidden="false" customHeight="true" outlineLevel="0" collapsed="false">
      <c r="A62" s="224" t="s">
        <v>7282</v>
      </c>
      <c r="B62" s="224" t="s">
        <v>5864</v>
      </c>
      <c r="C62" s="233" t="s">
        <v>8761</v>
      </c>
      <c r="D62" s="224" t="s">
        <v>455</v>
      </c>
      <c r="E62" s="234" t="s">
        <v>8682</v>
      </c>
      <c r="F62" s="234" t="s">
        <v>8683</v>
      </c>
      <c r="G62" s="224" t="s">
        <v>608</v>
      </c>
      <c r="H62" s="224" t="s">
        <v>608</v>
      </c>
      <c r="I62" s="234" t="s">
        <v>8684</v>
      </c>
      <c r="J62" s="224" t="s">
        <v>8685</v>
      </c>
      <c r="K62" s="233" t="s">
        <v>8686</v>
      </c>
      <c r="L62" s="222" t="s">
        <v>8557</v>
      </c>
      <c r="M62" s="6" t="s">
        <v>8762</v>
      </c>
      <c r="N62" s="28" t="s">
        <v>608</v>
      </c>
      <c r="O62" s="28" t="s">
        <v>608</v>
      </c>
      <c r="P62" s="28" t="s">
        <v>8736</v>
      </c>
      <c r="Q62" s="222" t="s">
        <v>6461</v>
      </c>
    </row>
    <row r="63" customFormat="false" ht="29.25" hidden="false" customHeight="true" outlineLevel="0" collapsed="false">
      <c r="A63" s="224" t="s">
        <v>7292</v>
      </c>
      <c r="B63" s="224" t="s">
        <v>5864</v>
      </c>
      <c r="C63" s="233" t="s">
        <v>8763</v>
      </c>
      <c r="D63" s="224" t="s">
        <v>7293</v>
      </c>
      <c r="E63" s="234" t="s">
        <v>8682</v>
      </c>
      <c r="F63" s="234" t="s">
        <v>8683</v>
      </c>
      <c r="G63" s="224" t="s">
        <v>608</v>
      </c>
      <c r="H63" s="224" t="s">
        <v>608</v>
      </c>
      <c r="I63" s="234" t="s">
        <v>8684</v>
      </c>
      <c r="J63" s="224" t="s">
        <v>8685</v>
      </c>
      <c r="K63" s="233" t="s">
        <v>8686</v>
      </c>
      <c r="L63" s="222" t="s">
        <v>8557</v>
      </c>
      <c r="M63" s="6" t="s">
        <v>8764</v>
      </c>
      <c r="N63" s="28" t="s">
        <v>608</v>
      </c>
      <c r="O63" s="28" t="s">
        <v>608</v>
      </c>
      <c r="P63" s="28" t="s">
        <v>8736</v>
      </c>
      <c r="Q63" s="222" t="s">
        <v>6461</v>
      </c>
    </row>
    <row r="64" customFormat="false" ht="43.5" hidden="false" customHeight="true" outlineLevel="0" collapsed="false">
      <c r="A64" s="224" t="s">
        <v>7303</v>
      </c>
      <c r="B64" s="224" t="s">
        <v>5864</v>
      </c>
      <c r="C64" s="233" t="s">
        <v>8765</v>
      </c>
      <c r="D64" s="224" t="s">
        <v>7304</v>
      </c>
      <c r="E64" s="234" t="s">
        <v>8682</v>
      </c>
      <c r="F64" s="234" t="s">
        <v>8683</v>
      </c>
      <c r="G64" s="224" t="s">
        <v>608</v>
      </c>
      <c r="H64" s="224" t="s">
        <v>608</v>
      </c>
      <c r="I64" s="234" t="s">
        <v>8684</v>
      </c>
      <c r="J64" s="224" t="s">
        <v>8685</v>
      </c>
      <c r="K64" s="233" t="s">
        <v>8686</v>
      </c>
      <c r="L64" s="222" t="s">
        <v>8557</v>
      </c>
      <c r="M64" s="6" t="s">
        <v>8766</v>
      </c>
      <c r="N64" s="28" t="s">
        <v>608</v>
      </c>
      <c r="O64" s="28" t="s">
        <v>608</v>
      </c>
      <c r="P64" s="28" t="s">
        <v>8736</v>
      </c>
      <c r="Q64" s="222" t="s">
        <v>6568</v>
      </c>
    </row>
    <row r="65" customFormat="false" ht="29.25" hidden="false" customHeight="true" outlineLevel="0" collapsed="false">
      <c r="A65" s="224" t="s">
        <v>7325</v>
      </c>
      <c r="B65" s="224" t="s">
        <v>5864</v>
      </c>
      <c r="C65" s="233" t="s">
        <v>8767</v>
      </c>
      <c r="D65" s="224" t="s">
        <v>7326</v>
      </c>
      <c r="E65" s="234" t="s">
        <v>8682</v>
      </c>
      <c r="F65" s="234" t="s">
        <v>8683</v>
      </c>
      <c r="G65" s="224" t="s">
        <v>608</v>
      </c>
      <c r="H65" s="224" t="s">
        <v>608</v>
      </c>
      <c r="I65" s="234" t="s">
        <v>8684</v>
      </c>
      <c r="J65" s="224" t="s">
        <v>8685</v>
      </c>
      <c r="K65" s="233" t="s">
        <v>8686</v>
      </c>
      <c r="L65" s="222" t="s">
        <v>8557</v>
      </c>
      <c r="M65" s="6" t="s">
        <v>7318</v>
      </c>
      <c r="N65" s="28" t="s">
        <v>608</v>
      </c>
      <c r="O65" s="28" t="s">
        <v>608</v>
      </c>
      <c r="P65" s="28" t="s">
        <v>8687</v>
      </c>
      <c r="Q65" s="222" t="s">
        <v>6461</v>
      </c>
    </row>
    <row r="66" customFormat="false" ht="29.25" hidden="false" customHeight="true" outlineLevel="0" collapsed="false">
      <c r="A66" s="224" t="s">
        <v>7336</v>
      </c>
      <c r="B66" s="224" t="s">
        <v>5864</v>
      </c>
      <c r="C66" s="233" t="s">
        <v>8768</v>
      </c>
      <c r="D66" s="224" t="s">
        <v>7337</v>
      </c>
      <c r="E66" s="234" t="s">
        <v>8682</v>
      </c>
      <c r="F66" s="234" t="s">
        <v>8683</v>
      </c>
      <c r="G66" s="224" t="s">
        <v>608</v>
      </c>
      <c r="H66" s="224" t="s">
        <v>608</v>
      </c>
      <c r="I66" s="234" t="s">
        <v>8684</v>
      </c>
      <c r="J66" s="224" t="s">
        <v>8685</v>
      </c>
      <c r="K66" s="233" t="s">
        <v>8686</v>
      </c>
      <c r="L66" s="222" t="s">
        <v>8557</v>
      </c>
      <c r="M66" s="6" t="s">
        <v>8769</v>
      </c>
      <c r="N66" s="28" t="s">
        <v>608</v>
      </c>
      <c r="O66" s="28" t="s">
        <v>608</v>
      </c>
      <c r="P66" s="28" t="s">
        <v>8711</v>
      </c>
      <c r="Q66" s="222" t="s">
        <v>6461</v>
      </c>
    </row>
    <row r="67" customFormat="false" ht="29.25" hidden="false" customHeight="true" outlineLevel="0" collapsed="false">
      <c r="A67" s="224" t="s">
        <v>8770</v>
      </c>
      <c r="B67" s="224" t="s">
        <v>5864</v>
      </c>
      <c r="C67" s="233" t="s">
        <v>8771</v>
      </c>
      <c r="D67" s="224" t="s">
        <v>3547</v>
      </c>
      <c r="E67" s="234" t="s">
        <v>8682</v>
      </c>
      <c r="F67" s="234" t="s">
        <v>8683</v>
      </c>
      <c r="G67" s="224" t="s">
        <v>608</v>
      </c>
      <c r="H67" s="224" t="s">
        <v>608</v>
      </c>
      <c r="I67" s="234" t="s">
        <v>8684</v>
      </c>
      <c r="J67" s="224" t="s">
        <v>8685</v>
      </c>
      <c r="K67" s="233" t="s">
        <v>8686</v>
      </c>
      <c r="L67" s="222" t="s">
        <v>8557</v>
      </c>
      <c r="M67" s="6" t="s">
        <v>8772</v>
      </c>
      <c r="N67" s="28" t="s">
        <v>608</v>
      </c>
      <c r="O67" s="28" t="s">
        <v>608</v>
      </c>
      <c r="P67" s="28" t="s">
        <v>8711</v>
      </c>
      <c r="Q67" s="222" t="s">
        <v>6461</v>
      </c>
    </row>
    <row r="68" customFormat="false" ht="57.75" hidden="false" customHeight="true" outlineLevel="0" collapsed="false">
      <c r="A68" s="224" t="s">
        <v>7363</v>
      </c>
      <c r="B68" s="224" t="s">
        <v>5864</v>
      </c>
      <c r="C68" s="233" t="s">
        <v>8773</v>
      </c>
      <c r="D68" s="224" t="s">
        <v>7364</v>
      </c>
      <c r="E68" s="234" t="s">
        <v>8682</v>
      </c>
      <c r="F68" s="234" t="s">
        <v>8683</v>
      </c>
      <c r="G68" s="224" t="s">
        <v>608</v>
      </c>
      <c r="H68" s="224" t="s">
        <v>608</v>
      </c>
      <c r="I68" s="234" t="s">
        <v>8684</v>
      </c>
      <c r="J68" s="224" t="s">
        <v>8685</v>
      </c>
      <c r="K68" s="233" t="s">
        <v>8686</v>
      </c>
      <c r="L68" s="222" t="s">
        <v>8557</v>
      </c>
      <c r="M68" s="6" t="s">
        <v>8774</v>
      </c>
      <c r="N68" s="28" t="s">
        <v>608</v>
      </c>
      <c r="O68" s="28" t="s">
        <v>608</v>
      </c>
      <c r="P68" s="28" t="s">
        <v>8736</v>
      </c>
      <c r="Q68" s="222" t="s">
        <v>6568</v>
      </c>
    </row>
    <row r="69" customFormat="false" ht="29.25" hidden="false" customHeight="true" outlineLevel="0" collapsed="false">
      <c r="A69" s="224" t="s">
        <v>8775</v>
      </c>
      <c r="B69" s="224" t="s">
        <v>5864</v>
      </c>
      <c r="C69" s="233" t="s">
        <v>8776</v>
      </c>
      <c r="D69" s="224" t="s">
        <v>7390</v>
      </c>
      <c r="E69" s="234" t="s">
        <v>8682</v>
      </c>
      <c r="F69" s="234" t="s">
        <v>8683</v>
      </c>
      <c r="G69" s="224" t="s">
        <v>608</v>
      </c>
      <c r="H69" s="224" t="s">
        <v>608</v>
      </c>
      <c r="I69" s="234" t="s">
        <v>8684</v>
      </c>
      <c r="J69" s="224" t="s">
        <v>8685</v>
      </c>
      <c r="K69" s="233" t="s">
        <v>8686</v>
      </c>
      <c r="L69" s="222" t="s">
        <v>8557</v>
      </c>
      <c r="M69" s="6" t="s">
        <v>8777</v>
      </c>
      <c r="N69" s="28" t="s">
        <v>608</v>
      </c>
      <c r="O69" s="28" t="s">
        <v>608</v>
      </c>
      <c r="P69" s="28" t="s">
        <v>8687</v>
      </c>
      <c r="Q69" s="222" t="s">
        <v>6461</v>
      </c>
    </row>
    <row r="70" customFormat="false" ht="29.25" hidden="false" customHeight="true" outlineLevel="0" collapsed="false">
      <c r="A70" s="224" t="s">
        <v>8778</v>
      </c>
      <c r="B70" s="224" t="s">
        <v>5864</v>
      </c>
      <c r="C70" s="233" t="s">
        <v>8779</v>
      </c>
      <c r="D70" s="224" t="s">
        <v>7404</v>
      </c>
      <c r="E70" s="234" t="s">
        <v>8682</v>
      </c>
      <c r="F70" s="234" t="s">
        <v>8683</v>
      </c>
      <c r="G70" s="224" t="s">
        <v>608</v>
      </c>
      <c r="H70" s="224" t="s">
        <v>608</v>
      </c>
      <c r="I70" s="234" t="s">
        <v>8684</v>
      </c>
      <c r="J70" s="224" t="s">
        <v>8685</v>
      </c>
      <c r="K70" s="233" t="s">
        <v>8686</v>
      </c>
      <c r="L70" s="222" t="s">
        <v>8557</v>
      </c>
      <c r="M70" s="6" t="s">
        <v>8612</v>
      </c>
      <c r="N70" s="28" t="s">
        <v>608</v>
      </c>
      <c r="O70" s="28" t="s">
        <v>608</v>
      </c>
      <c r="P70" s="28" t="s">
        <v>8736</v>
      </c>
      <c r="Q70" s="222" t="s">
        <v>6461</v>
      </c>
    </row>
    <row r="71" customFormat="false" ht="83.25" hidden="false" customHeight="true" outlineLevel="0" collapsed="false">
      <c r="A71" s="224" t="s">
        <v>6759</v>
      </c>
      <c r="B71" s="224" t="s">
        <v>5864</v>
      </c>
      <c r="C71" s="233" t="s">
        <v>8780</v>
      </c>
      <c r="D71" s="224" t="s">
        <v>6752</v>
      </c>
      <c r="E71" s="234" t="s">
        <v>8781</v>
      </c>
      <c r="F71" s="234" t="s">
        <v>8683</v>
      </c>
      <c r="G71" s="224" t="s">
        <v>608</v>
      </c>
      <c r="H71" s="224" t="s">
        <v>608</v>
      </c>
      <c r="I71" s="234" t="s">
        <v>8782</v>
      </c>
      <c r="J71" s="224" t="s">
        <v>8685</v>
      </c>
      <c r="K71" s="233" t="s">
        <v>8783</v>
      </c>
      <c r="L71" s="222" t="s">
        <v>8557</v>
      </c>
      <c r="M71" s="6" t="s">
        <v>8784</v>
      </c>
      <c r="N71" s="28" t="s">
        <v>608</v>
      </c>
      <c r="O71" s="28" t="s">
        <v>608</v>
      </c>
      <c r="P71" s="28" t="s">
        <v>8687</v>
      </c>
      <c r="Q71" s="222" t="s">
        <v>8785</v>
      </c>
    </row>
    <row r="72" customFormat="false" ht="29.25" hidden="false" customHeight="true" outlineLevel="0" collapsed="false">
      <c r="A72" s="224" t="s">
        <v>7508</v>
      </c>
      <c r="B72" s="224" t="s">
        <v>8786</v>
      </c>
      <c r="C72" s="233" t="s">
        <v>8787</v>
      </c>
      <c r="D72" s="224" t="s">
        <v>7509</v>
      </c>
      <c r="E72" s="234" t="s">
        <v>8682</v>
      </c>
      <c r="F72" s="234" t="s">
        <v>8683</v>
      </c>
      <c r="G72" s="224" t="s">
        <v>608</v>
      </c>
      <c r="H72" s="224" t="s">
        <v>608</v>
      </c>
      <c r="I72" s="234" t="s">
        <v>8684</v>
      </c>
      <c r="J72" s="224" t="s">
        <v>8788</v>
      </c>
      <c r="K72" s="233" t="s">
        <v>8686</v>
      </c>
      <c r="L72" s="222" t="s">
        <v>8557</v>
      </c>
      <c r="M72" s="6" t="s">
        <v>2847</v>
      </c>
      <c r="N72" s="28" t="s">
        <v>608</v>
      </c>
      <c r="O72" s="28" t="s">
        <v>608</v>
      </c>
      <c r="P72" s="28" t="s">
        <v>8687</v>
      </c>
      <c r="Q72" s="222" t="s">
        <v>6461</v>
      </c>
    </row>
    <row r="73" customFormat="false" ht="29.25" hidden="false" customHeight="true" outlineLevel="0" collapsed="false">
      <c r="A73" s="224" t="s">
        <v>7518</v>
      </c>
      <c r="B73" s="224" t="s">
        <v>8786</v>
      </c>
      <c r="C73" s="233" t="s">
        <v>8789</v>
      </c>
      <c r="D73" s="224" t="s">
        <v>7519</v>
      </c>
      <c r="E73" s="234" t="s">
        <v>8682</v>
      </c>
      <c r="F73" s="234" t="s">
        <v>8683</v>
      </c>
      <c r="G73" s="224" t="s">
        <v>608</v>
      </c>
      <c r="H73" s="224" t="s">
        <v>608</v>
      </c>
      <c r="I73" s="234" t="s">
        <v>8684</v>
      </c>
      <c r="J73" s="224" t="s">
        <v>8788</v>
      </c>
      <c r="K73" s="233" t="s">
        <v>8686</v>
      </c>
      <c r="L73" s="222" t="s">
        <v>8557</v>
      </c>
      <c r="M73" s="6" t="s">
        <v>2854</v>
      </c>
      <c r="N73" s="28" t="s">
        <v>608</v>
      </c>
      <c r="O73" s="28" t="s">
        <v>608</v>
      </c>
      <c r="P73" s="28" t="s">
        <v>8711</v>
      </c>
      <c r="Q73" s="222" t="s">
        <v>6568</v>
      </c>
    </row>
    <row r="74" customFormat="false" ht="29.25" hidden="false" customHeight="true" outlineLevel="0" collapsed="false">
      <c r="A74" s="224" t="s">
        <v>7769</v>
      </c>
      <c r="B74" s="224" t="s">
        <v>8786</v>
      </c>
      <c r="C74" s="233" t="s">
        <v>8790</v>
      </c>
      <c r="D74" s="224" t="s">
        <v>7770</v>
      </c>
      <c r="E74" s="234" t="s">
        <v>8682</v>
      </c>
      <c r="F74" s="234" t="s">
        <v>8683</v>
      </c>
      <c r="G74" s="224" t="s">
        <v>608</v>
      </c>
      <c r="H74" s="224" t="s">
        <v>608</v>
      </c>
      <c r="I74" s="234" t="s">
        <v>8684</v>
      </c>
      <c r="J74" s="224" t="s">
        <v>8788</v>
      </c>
      <c r="K74" s="233" t="s">
        <v>8686</v>
      </c>
      <c r="L74" s="222" t="s">
        <v>8557</v>
      </c>
      <c r="M74" s="6" t="s">
        <v>8663</v>
      </c>
      <c r="N74" s="28" t="s">
        <v>608</v>
      </c>
      <c r="O74" s="28" t="s">
        <v>608</v>
      </c>
      <c r="P74" s="28" t="s">
        <v>8711</v>
      </c>
      <c r="Q74" s="222" t="s">
        <v>6461</v>
      </c>
    </row>
    <row r="75" customFormat="false" ht="29.25" hidden="false" customHeight="true" outlineLevel="0" collapsed="false">
      <c r="A75" s="224" t="s">
        <v>7836</v>
      </c>
      <c r="B75" s="224" t="s">
        <v>8786</v>
      </c>
      <c r="C75" s="233" t="s">
        <v>8791</v>
      </c>
      <c r="D75" s="224" t="s">
        <v>7837</v>
      </c>
      <c r="E75" s="234" t="s">
        <v>8682</v>
      </c>
      <c r="F75" s="234" t="s">
        <v>8683</v>
      </c>
      <c r="G75" s="224" t="s">
        <v>608</v>
      </c>
      <c r="H75" s="224" t="s">
        <v>608</v>
      </c>
      <c r="I75" s="234" t="s">
        <v>8684</v>
      </c>
      <c r="J75" s="224" t="s">
        <v>8788</v>
      </c>
      <c r="K75" s="233" t="s">
        <v>8686</v>
      </c>
      <c r="L75" s="222" t="s">
        <v>8557</v>
      </c>
      <c r="M75" s="6" t="s">
        <v>8576</v>
      </c>
      <c r="N75" s="28" t="s">
        <v>608</v>
      </c>
      <c r="O75" s="28" t="s">
        <v>608</v>
      </c>
      <c r="P75" s="28" t="s">
        <v>8736</v>
      </c>
      <c r="Q75" s="222" t="s">
        <v>6568</v>
      </c>
    </row>
    <row r="76" customFormat="false" ht="69" hidden="false" customHeight="true" outlineLevel="0" collapsed="false">
      <c r="A76" s="224" t="s">
        <v>7527</v>
      </c>
      <c r="B76" s="224" t="s">
        <v>8786</v>
      </c>
      <c r="C76" s="233" t="s">
        <v>8792</v>
      </c>
      <c r="D76" s="224" t="s">
        <v>7528</v>
      </c>
      <c r="E76" s="234" t="s">
        <v>8682</v>
      </c>
      <c r="F76" s="234" t="s">
        <v>8683</v>
      </c>
      <c r="G76" s="224" t="s">
        <v>608</v>
      </c>
      <c r="H76" s="224" t="s">
        <v>608</v>
      </c>
      <c r="I76" s="234" t="s">
        <v>8684</v>
      </c>
      <c r="J76" s="224" t="s">
        <v>8788</v>
      </c>
      <c r="K76" s="233" t="s">
        <v>8686</v>
      </c>
      <c r="L76" s="222" t="s">
        <v>8557</v>
      </c>
      <c r="M76" s="6" t="s">
        <v>8793</v>
      </c>
      <c r="N76" s="28" t="s">
        <v>608</v>
      </c>
      <c r="O76" s="28" t="s">
        <v>608</v>
      </c>
      <c r="P76" s="28" t="s">
        <v>8736</v>
      </c>
      <c r="Q76" s="222" t="s">
        <v>6461</v>
      </c>
    </row>
    <row r="77" customFormat="false" ht="69" hidden="false" customHeight="true" outlineLevel="0" collapsed="false">
      <c r="A77" s="224" t="s">
        <v>7558</v>
      </c>
      <c r="B77" s="224" t="s">
        <v>8786</v>
      </c>
      <c r="C77" s="233" t="s">
        <v>8794</v>
      </c>
      <c r="D77" s="224" t="s">
        <v>7559</v>
      </c>
      <c r="E77" s="234" t="s">
        <v>8682</v>
      </c>
      <c r="F77" s="234" t="s">
        <v>8683</v>
      </c>
      <c r="G77" s="224" t="s">
        <v>608</v>
      </c>
      <c r="H77" s="224" t="s">
        <v>608</v>
      </c>
      <c r="I77" s="234" t="s">
        <v>8684</v>
      </c>
      <c r="J77" s="224" t="s">
        <v>8788</v>
      </c>
      <c r="K77" s="233" t="s">
        <v>8686</v>
      </c>
      <c r="L77" s="222" t="s">
        <v>8557</v>
      </c>
      <c r="M77" s="6" t="s">
        <v>8645</v>
      </c>
      <c r="N77" s="28" t="s">
        <v>608</v>
      </c>
      <c r="O77" s="28" t="s">
        <v>608</v>
      </c>
      <c r="P77" s="28" t="s">
        <v>8711</v>
      </c>
      <c r="Q77" s="222" t="s">
        <v>6461</v>
      </c>
    </row>
    <row r="78" customFormat="false" ht="57.75" hidden="false" customHeight="true" outlineLevel="0" collapsed="false">
      <c r="A78" s="224" t="s">
        <v>7593</v>
      </c>
      <c r="B78" s="224" t="s">
        <v>8786</v>
      </c>
      <c r="C78" s="233" t="s">
        <v>8795</v>
      </c>
      <c r="D78" s="224" t="s">
        <v>3601</v>
      </c>
      <c r="E78" s="234" t="s">
        <v>8682</v>
      </c>
      <c r="F78" s="234" t="s">
        <v>8683</v>
      </c>
      <c r="G78" s="224" t="s">
        <v>608</v>
      </c>
      <c r="H78" s="224" t="s">
        <v>608</v>
      </c>
      <c r="I78" s="234" t="s">
        <v>8684</v>
      </c>
      <c r="J78" s="224" t="s">
        <v>8788</v>
      </c>
      <c r="K78" s="233" t="s">
        <v>8686</v>
      </c>
      <c r="L78" s="222" t="s">
        <v>8557</v>
      </c>
      <c r="M78" s="6" t="s">
        <v>8626</v>
      </c>
      <c r="N78" s="28" t="s">
        <v>608</v>
      </c>
      <c r="O78" s="28" t="s">
        <v>608</v>
      </c>
      <c r="P78" s="28" t="s">
        <v>8736</v>
      </c>
      <c r="Q78" s="222" t="s">
        <v>6461</v>
      </c>
    </row>
    <row r="79" customFormat="false" ht="43.5" hidden="false" customHeight="true" outlineLevel="0" collapsed="false">
      <c r="A79" s="224" t="s">
        <v>7623</v>
      </c>
      <c r="B79" s="224" t="s">
        <v>8786</v>
      </c>
      <c r="C79" s="233" t="s">
        <v>8796</v>
      </c>
      <c r="D79" s="224" t="s">
        <v>7624</v>
      </c>
      <c r="E79" s="234" t="s">
        <v>8682</v>
      </c>
      <c r="F79" s="234" t="s">
        <v>8683</v>
      </c>
      <c r="G79" s="224" t="s">
        <v>608</v>
      </c>
      <c r="H79" s="224" t="s">
        <v>608</v>
      </c>
      <c r="I79" s="234" t="s">
        <v>8684</v>
      </c>
      <c r="J79" s="224" t="s">
        <v>8788</v>
      </c>
      <c r="K79" s="233" t="s">
        <v>8686</v>
      </c>
      <c r="L79" s="222" t="s">
        <v>8557</v>
      </c>
      <c r="M79" s="6" t="s">
        <v>8797</v>
      </c>
      <c r="N79" s="28" t="s">
        <v>608</v>
      </c>
      <c r="O79" s="28" t="s">
        <v>608</v>
      </c>
      <c r="P79" s="28" t="s">
        <v>8736</v>
      </c>
      <c r="Q79" s="222" t="s">
        <v>6461</v>
      </c>
    </row>
    <row r="80" customFormat="false" ht="72" hidden="false" customHeight="true" outlineLevel="0" collapsed="false">
      <c r="A80" s="224" t="s">
        <v>7645</v>
      </c>
      <c r="B80" s="224" t="s">
        <v>8786</v>
      </c>
      <c r="C80" s="233" t="s">
        <v>8798</v>
      </c>
      <c r="D80" s="224" t="s">
        <v>7646</v>
      </c>
      <c r="E80" s="234" t="s">
        <v>8682</v>
      </c>
      <c r="F80" s="234" t="s">
        <v>8683</v>
      </c>
      <c r="G80" s="224" t="s">
        <v>608</v>
      </c>
      <c r="H80" s="224" t="s">
        <v>608</v>
      </c>
      <c r="I80" s="234" t="s">
        <v>8684</v>
      </c>
      <c r="J80" s="224" t="s">
        <v>8788</v>
      </c>
      <c r="K80" s="233" t="s">
        <v>8686</v>
      </c>
      <c r="L80" s="222" t="s">
        <v>8557</v>
      </c>
      <c r="M80" s="6" t="s">
        <v>8649</v>
      </c>
      <c r="N80" s="28" t="s">
        <v>608</v>
      </c>
      <c r="O80" s="28" t="s">
        <v>608</v>
      </c>
      <c r="P80" s="28" t="s">
        <v>8711</v>
      </c>
      <c r="Q80" s="222" t="s">
        <v>6461</v>
      </c>
    </row>
    <row r="81" customFormat="false" ht="54.75" hidden="false" customHeight="true" outlineLevel="0" collapsed="false">
      <c r="A81" s="224" t="s">
        <v>7682</v>
      </c>
      <c r="B81" s="224" t="s">
        <v>8786</v>
      </c>
      <c r="C81" s="233" t="s">
        <v>8799</v>
      </c>
      <c r="D81" s="224" t="s">
        <v>7683</v>
      </c>
      <c r="E81" s="234" t="s">
        <v>8682</v>
      </c>
      <c r="F81" s="234" t="s">
        <v>8683</v>
      </c>
      <c r="G81" s="224" t="s">
        <v>608</v>
      </c>
      <c r="H81" s="224" t="s">
        <v>608</v>
      </c>
      <c r="I81" s="234" t="s">
        <v>8684</v>
      </c>
      <c r="J81" s="224" t="s">
        <v>8788</v>
      </c>
      <c r="K81" s="233" t="s">
        <v>8686</v>
      </c>
      <c r="L81" s="222" t="s">
        <v>8557</v>
      </c>
      <c r="M81" s="6" t="s">
        <v>8639</v>
      </c>
      <c r="N81" s="28" t="s">
        <v>608</v>
      </c>
      <c r="O81" s="28" t="s">
        <v>608</v>
      </c>
      <c r="P81" s="28" t="s">
        <v>8711</v>
      </c>
      <c r="Q81" s="222" t="s">
        <v>6568</v>
      </c>
    </row>
    <row r="82" customFormat="false" ht="29.25" hidden="false" customHeight="true" outlineLevel="0" collapsed="false">
      <c r="A82" s="224" t="s">
        <v>7714</v>
      </c>
      <c r="B82" s="224" t="s">
        <v>8786</v>
      </c>
      <c r="C82" s="233" t="s">
        <v>8800</v>
      </c>
      <c r="D82" s="224" t="s">
        <v>7709</v>
      </c>
      <c r="E82" s="234" t="s">
        <v>8682</v>
      </c>
      <c r="F82" s="234" t="s">
        <v>8683</v>
      </c>
      <c r="G82" s="224" t="s">
        <v>608</v>
      </c>
      <c r="H82" s="224" t="s">
        <v>608</v>
      </c>
      <c r="I82" s="234" t="s">
        <v>8684</v>
      </c>
      <c r="J82" s="224" t="s">
        <v>8788</v>
      </c>
      <c r="K82" s="233" t="s">
        <v>8686</v>
      </c>
      <c r="L82" s="222" t="s">
        <v>8557</v>
      </c>
      <c r="M82" s="6" t="s">
        <v>8801</v>
      </c>
      <c r="N82" s="28" t="s">
        <v>608</v>
      </c>
      <c r="O82" s="28" t="s">
        <v>608</v>
      </c>
      <c r="P82" s="28" t="s">
        <v>8687</v>
      </c>
      <c r="Q82" s="222" t="s">
        <v>6568</v>
      </c>
    </row>
    <row r="83" customFormat="false" ht="43.5" hidden="false" customHeight="true" outlineLevel="0" collapsed="false">
      <c r="A83" s="224" t="s">
        <v>7848</v>
      </c>
      <c r="B83" s="224" t="s">
        <v>8786</v>
      </c>
      <c r="C83" s="233" t="s">
        <v>8802</v>
      </c>
      <c r="D83" s="224" t="s">
        <v>7849</v>
      </c>
      <c r="E83" s="234" t="s">
        <v>8682</v>
      </c>
      <c r="F83" s="234" t="s">
        <v>8683</v>
      </c>
      <c r="G83" s="224" t="s">
        <v>608</v>
      </c>
      <c r="H83" s="224" t="s">
        <v>608</v>
      </c>
      <c r="I83" s="234" t="s">
        <v>8684</v>
      </c>
      <c r="J83" s="224" t="s">
        <v>8788</v>
      </c>
      <c r="K83" s="233" t="s">
        <v>8686</v>
      </c>
      <c r="L83" s="222" t="s">
        <v>8557</v>
      </c>
      <c r="M83" s="6" t="s">
        <v>8619</v>
      </c>
      <c r="N83" s="28" t="s">
        <v>608</v>
      </c>
      <c r="O83" s="28" t="s">
        <v>608</v>
      </c>
      <c r="P83" s="28" t="s">
        <v>8711</v>
      </c>
      <c r="Q83" s="222" t="s">
        <v>6461</v>
      </c>
    </row>
    <row r="84" customFormat="false" ht="72" hidden="false" customHeight="true" outlineLevel="0" collapsed="false">
      <c r="A84" s="224" t="s">
        <v>7779</v>
      </c>
      <c r="B84" s="224" t="s">
        <v>8786</v>
      </c>
      <c r="C84" s="233" t="s">
        <v>8803</v>
      </c>
      <c r="D84" s="224" t="s">
        <v>1960</v>
      </c>
      <c r="E84" s="234" t="s">
        <v>8682</v>
      </c>
      <c r="F84" s="234" t="s">
        <v>8683</v>
      </c>
      <c r="G84" s="224" t="s">
        <v>608</v>
      </c>
      <c r="H84" s="224" t="s">
        <v>608</v>
      </c>
      <c r="I84" s="234" t="s">
        <v>8684</v>
      </c>
      <c r="J84" s="224" t="s">
        <v>8788</v>
      </c>
      <c r="K84" s="233" t="s">
        <v>8686</v>
      </c>
      <c r="L84" s="222" t="s">
        <v>8557</v>
      </c>
      <c r="M84" s="6" t="s">
        <v>8657</v>
      </c>
      <c r="N84" s="28" t="s">
        <v>608</v>
      </c>
      <c r="O84" s="28" t="s">
        <v>608</v>
      </c>
      <c r="P84" s="28" t="s">
        <v>8711</v>
      </c>
      <c r="Q84" s="222" t="s">
        <v>6461</v>
      </c>
    </row>
    <row r="85" customFormat="false" ht="72" hidden="false" customHeight="true" outlineLevel="0" collapsed="false">
      <c r="A85" s="224" t="s">
        <v>7730</v>
      </c>
      <c r="B85" s="224" t="s">
        <v>8786</v>
      </c>
      <c r="C85" s="233" t="s">
        <v>8804</v>
      </c>
      <c r="D85" s="224" t="s">
        <v>1979</v>
      </c>
      <c r="E85" s="234" t="s">
        <v>8682</v>
      </c>
      <c r="F85" s="234" t="s">
        <v>8683</v>
      </c>
      <c r="G85" s="224" t="s">
        <v>608</v>
      </c>
      <c r="H85" s="224" t="s">
        <v>608</v>
      </c>
      <c r="I85" s="234" t="s">
        <v>8684</v>
      </c>
      <c r="J85" s="224" t="s">
        <v>8788</v>
      </c>
      <c r="K85" s="233" t="s">
        <v>8686</v>
      </c>
      <c r="L85" s="222" t="s">
        <v>8557</v>
      </c>
      <c r="M85" s="6" t="s">
        <v>8669</v>
      </c>
      <c r="N85" s="28" t="s">
        <v>608</v>
      </c>
      <c r="O85" s="28" t="s">
        <v>608</v>
      </c>
      <c r="P85" s="28" t="s">
        <v>8711</v>
      </c>
      <c r="Q85" s="222" t="s">
        <v>6568</v>
      </c>
    </row>
    <row r="86" customFormat="false" ht="29.25" hidden="false" customHeight="true" outlineLevel="0" collapsed="false">
      <c r="A86" s="224" t="s">
        <v>7817</v>
      </c>
      <c r="B86" s="224" t="s">
        <v>8786</v>
      </c>
      <c r="C86" s="233" t="s">
        <v>8805</v>
      </c>
      <c r="D86" s="224" t="s">
        <v>7818</v>
      </c>
      <c r="E86" s="234" t="s">
        <v>8682</v>
      </c>
      <c r="F86" s="234" t="s">
        <v>8683</v>
      </c>
      <c r="G86" s="224" t="s">
        <v>608</v>
      </c>
      <c r="H86" s="224" t="s">
        <v>608</v>
      </c>
      <c r="I86" s="234" t="s">
        <v>8684</v>
      </c>
      <c r="J86" s="224" t="s">
        <v>8788</v>
      </c>
      <c r="K86" s="233" t="s">
        <v>8686</v>
      </c>
      <c r="L86" s="222" t="s">
        <v>8557</v>
      </c>
      <c r="M86" s="6" t="s">
        <v>8806</v>
      </c>
      <c r="N86" s="28" t="s">
        <v>608</v>
      </c>
      <c r="O86" s="28" t="s">
        <v>608</v>
      </c>
      <c r="P86" s="28" t="s">
        <v>8711</v>
      </c>
      <c r="Q86" s="222" t="s">
        <v>6568</v>
      </c>
    </row>
    <row r="87" customFormat="false" ht="29.25" hidden="false" customHeight="true" outlineLevel="0" collapsed="false">
      <c r="A87" s="224" t="s">
        <v>7827</v>
      </c>
      <c r="B87" s="224" t="s">
        <v>8786</v>
      </c>
      <c r="C87" s="233" t="s">
        <v>8807</v>
      </c>
      <c r="D87" s="224" t="s">
        <v>7828</v>
      </c>
      <c r="E87" s="234" t="s">
        <v>8682</v>
      </c>
      <c r="F87" s="234" t="s">
        <v>8683</v>
      </c>
      <c r="G87" s="224" t="s">
        <v>608</v>
      </c>
      <c r="H87" s="224" t="s">
        <v>608</v>
      </c>
      <c r="I87" s="234" t="s">
        <v>8684</v>
      </c>
      <c r="J87" s="224" t="s">
        <v>8788</v>
      </c>
      <c r="K87" s="233" t="s">
        <v>8686</v>
      </c>
      <c r="L87" s="222" t="s">
        <v>8557</v>
      </c>
      <c r="M87" s="6" t="s">
        <v>7822</v>
      </c>
      <c r="N87" s="28" t="s">
        <v>608</v>
      </c>
      <c r="O87" s="28" t="s">
        <v>608</v>
      </c>
      <c r="P87" s="28" t="s">
        <v>8711</v>
      </c>
      <c r="Q87" s="222" t="s">
        <v>6461</v>
      </c>
    </row>
    <row r="88" customFormat="false" ht="86.25" hidden="false" customHeight="true" outlineLevel="0" collapsed="false">
      <c r="A88" s="224" t="s">
        <v>7418</v>
      </c>
      <c r="B88" s="224" t="s">
        <v>8786</v>
      </c>
      <c r="C88" s="233" t="s">
        <v>8808</v>
      </c>
      <c r="D88" s="224" t="s">
        <v>7326</v>
      </c>
      <c r="E88" s="234" t="s">
        <v>8809</v>
      </c>
      <c r="F88" s="224" t="s">
        <v>8810</v>
      </c>
      <c r="G88" s="224" t="s">
        <v>608</v>
      </c>
      <c r="H88" s="224" t="s">
        <v>8811</v>
      </c>
      <c r="I88" s="234" t="s">
        <v>8812</v>
      </c>
      <c r="J88" s="224" t="s">
        <v>8788</v>
      </c>
      <c r="K88" s="233" t="s">
        <v>8813</v>
      </c>
      <c r="L88" s="222" t="s">
        <v>8557</v>
      </c>
      <c r="M88" s="6" t="s">
        <v>8814</v>
      </c>
      <c r="N88" s="28" t="s">
        <v>608</v>
      </c>
      <c r="O88" s="28" t="s">
        <v>608</v>
      </c>
      <c r="P88" s="28" t="s">
        <v>8736</v>
      </c>
      <c r="Q88" s="222" t="s">
        <v>6461</v>
      </c>
    </row>
    <row r="89" customFormat="false" ht="100.5" hidden="false" customHeight="true" outlineLevel="0" collapsed="false">
      <c r="A89" s="224" t="s">
        <v>7157</v>
      </c>
      <c r="B89" s="224" t="s">
        <v>8786</v>
      </c>
      <c r="C89" s="233" t="s">
        <v>8815</v>
      </c>
      <c r="D89" s="224" t="s">
        <v>7158</v>
      </c>
      <c r="E89" s="234" t="s">
        <v>8809</v>
      </c>
      <c r="F89" s="224" t="s">
        <v>8816</v>
      </c>
      <c r="G89" s="224" t="s">
        <v>8817</v>
      </c>
      <c r="H89" s="224" t="s">
        <v>8818</v>
      </c>
      <c r="I89" s="234" t="s">
        <v>8812</v>
      </c>
      <c r="J89" s="224" t="s">
        <v>8788</v>
      </c>
      <c r="K89" s="235" t="s">
        <v>8819</v>
      </c>
      <c r="L89" s="222" t="s">
        <v>8557</v>
      </c>
      <c r="M89" s="6" t="s">
        <v>8820</v>
      </c>
      <c r="N89" s="28" t="s">
        <v>608</v>
      </c>
      <c r="O89" s="28" t="s">
        <v>608</v>
      </c>
      <c r="P89" s="28" t="s">
        <v>8736</v>
      </c>
      <c r="Q89" s="222" t="s">
        <v>6461</v>
      </c>
    </row>
    <row r="90" customFormat="false" ht="15" hidden="false" customHeight="true" outlineLevel="0" collapsed="false">
      <c r="A90" s="224" t="s">
        <v>7876</v>
      </c>
      <c r="B90" s="224" t="s">
        <v>6028</v>
      </c>
      <c r="C90" s="233" t="s">
        <v>8821</v>
      </c>
      <c r="D90" s="224" t="s">
        <v>8822</v>
      </c>
      <c r="E90" s="234" t="s">
        <v>8823</v>
      </c>
      <c r="F90" s="224" t="s">
        <v>8824</v>
      </c>
      <c r="G90" s="224" t="s">
        <v>608</v>
      </c>
      <c r="H90" s="224" t="s">
        <v>8825</v>
      </c>
      <c r="I90" s="234" t="s">
        <v>8826</v>
      </c>
      <c r="J90" s="224" t="s">
        <v>8827</v>
      </c>
      <c r="K90" s="233" t="s">
        <v>8828</v>
      </c>
      <c r="L90" s="222" t="s">
        <v>8557</v>
      </c>
      <c r="M90" s="6" t="s">
        <v>5436</v>
      </c>
      <c r="N90" s="28" t="s">
        <v>608</v>
      </c>
      <c r="O90" s="28" t="s">
        <v>8829</v>
      </c>
      <c r="P90" s="28" t="s">
        <v>8711</v>
      </c>
      <c r="Q90" s="222" t="s">
        <v>6461</v>
      </c>
    </row>
    <row r="91" customFormat="false" ht="39" hidden="false" customHeight="true" outlineLevel="0" collapsed="false">
      <c r="A91" s="224" t="s">
        <v>8830</v>
      </c>
      <c r="B91" s="224" t="s">
        <v>6028</v>
      </c>
      <c r="C91" s="233" t="s">
        <v>8831</v>
      </c>
      <c r="D91" s="224" t="s">
        <v>8832</v>
      </c>
      <c r="E91" s="234" t="s">
        <v>8823</v>
      </c>
      <c r="F91" s="234" t="s">
        <v>8833</v>
      </c>
      <c r="G91" s="224" t="s">
        <v>608</v>
      </c>
      <c r="H91" s="224" t="s">
        <v>8834</v>
      </c>
      <c r="I91" s="234" t="s">
        <v>8826</v>
      </c>
      <c r="J91" s="224" t="s">
        <v>8827</v>
      </c>
      <c r="K91" s="235" t="s">
        <v>8835</v>
      </c>
      <c r="L91" s="222" t="s">
        <v>8557</v>
      </c>
      <c r="M91" s="6" t="s">
        <v>5636</v>
      </c>
      <c r="N91" s="28" t="s">
        <v>608</v>
      </c>
      <c r="O91" s="28" t="s">
        <v>8829</v>
      </c>
      <c r="P91" s="28" t="s">
        <v>8711</v>
      </c>
      <c r="Q91" s="222" t="s">
        <v>6461</v>
      </c>
    </row>
    <row r="92" customFormat="false" ht="15" hidden="false" customHeight="true" outlineLevel="0" collapsed="false">
      <c r="A92" s="224" t="s">
        <v>7891</v>
      </c>
      <c r="B92" s="224" t="s">
        <v>6028</v>
      </c>
      <c r="C92" s="233" t="s">
        <v>8836</v>
      </c>
      <c r="D92" s="224" t="s">
        <v>8837</v>
      </c>
      <c r="E92" s="234" t="s">
        <v>8823</v>
      </c>
      <c r="F92" s="224" t="s">
        <v>8824</v>
      </c>
      <c r="G92" s="224" t="s">
        <v>608</v>
      </c>
      <c r="H92" s="224" t="s">
        <v>8838</v>
      </c>
      <c r="I92" s="234" t="s">
        <v>8826</v>
      </c>
      <c r="J92" s="224" t="s">
        <v>8827</v>
      </c>
      <c r="K92" s="235" t="s">
        <v>8839</v>
      </c>
      <c r="L92" s="222" t="s">
        <v>8557</v>
      </c>
      <c r="M92" s="6" t="s">
        <v>5443</v>
      </c>
      <c r="N92" s="28" t="s">
        <v>608</v>
      </c>
      <c r="O92" s="28" t="s">
        <v>8829</v>
      </c>
      <c r="P92" s="28" t="s">
        <v>8711</v>
      </c>
      <c r="Q92" s="222" t="s">
        <v>6461</v>
      </c>
    </row>
    <row r="93" customFormat="false" ht="26.25" hidden="false" customHeight="true" outlineLevel="0" collapsed="false">
      <c r="A93" s="224" t="s">
        <v>8840</v>
      </c>
      <c r="B93" s="224" t="s">
        <v>6028</v>
      </c>
      <c r="C93" s="235" t="s">
        <v>8841</v>
      </c>
      <c r="D93" s="224" t="s">
        <v>8842</v>
      </c>
      <c r="E93" s="234" t="s">
        <v>8823</v>
      </c>
      <c r="F93" s="224" t="s">
        <v>8843</v>
      </c>
      <c r="G93" s="224" t="s">
        <v>608</v>
      </c>
      <c r="H93" s="224" t="s">
        <v>8844</v>
      </c>
      <c r="I93" s="234" t="s">
        <v>8826</v>
      </c>
      <c r="J93" s="224" t="s">
        <v>8827</v>
      </c>
      <c r="K93" s="235" t="s">
        <v>8845</v>
      </c>
      <c r="L93" s="222" t="s">
        <v>8557</v>
      </c>
      <c r="M93" s="6" t="s">
        <v>2993</v>
      </c>
      <c r="N93" s="28" t="s">
        <v>608</v>
      </c>
      <c r="O93" s="28" t="s">
        <v>8829</v>
      </c>
      <c r="P93" s="28" t="s">
        <v>8711</v>
      </c>
      <c r="Q93" s="222" t="s">
        <v>6568</v>
      </c>
    </row>
    <row r="94" customFormat="false" ht="51.75" hidden="false" customHeight="true" outlineLevel="0" collapsed="false">
      <c r="A94" s="224" t="s">
        <v>8846</v>
      </c>
      <c r="B94" s="224" t="s">
        <v>6041</v>
      </c>
      <c r="C94" s="233" t="s">
        <v>8847</v>
      </c>
      <c r="D94" s="224" t="s">
        <v>8848</v>
      </c>
      <c r="E94" s="234" t="s">
        <v>8849</v>
      </c>
      <c r="F94" s="224" t="s">
        <v>8850</v>
      </c>
      <c r="G94" s="224" t="s">
        <v>8851</v>
      </c>
      <c r="H94" s="224" t="s">
        <v>8852</v>
      </c>
      <c r="I94" s="234" t="s">
        <v>8853</v>
      </c>
      <c r="J94" s="224" t="s">
        <v>8854</v>
      </c>
      <c r="K94" s="235" t="s">
        <v>8855</v>
      </c>
      <c r="L94" s="222" t="s">
        <v>8557</v>
      </c>
      <c r="M94" s="6" t="s">
        <v>4329</v>
      </c>
      <c r="N94" s="28" t="s">
        <v>608</v>
      </c>
      <c r="O94" s="28" t="s">
        <v>8856</v>
      </c>
      <c r="P94" s="28" t="s">
        <v>8736</v>
      </c>
      <c r="Q94" s="222" t="s">
        <v>6461</v>
      </c>
    </row>
    <row r="95" customFormat="false" ht="51.75" hidden="false" customHeight="true" outlineLevel="0" collapsed="false">
      <c r="A95" s="224" t="s">
        <v>8857</v>
      </c>
      <c r="B95" s="224" t="s">
        <v>6041</v>
      </c>
      <c r="C95" s="233" t="s">
        <v>8858</v>
      </c>
      <c r="D95" s="224" t="s">
        <v>8848</v>
      </c>
      <c r="E95" s="234" t="s">
        <v>8849</v>
      </c>
      <c r="F95" s="224" t="s">
        <v>8859</v>
      </c>
      <c r="G95" s="224" t="s">
        <v>8860</v>
      </c>
      <c r="H95" s="224" t="s">
        <v>8861</v>
      </c>
      <c r="I95" s="234" t="s">
        <v>8853</v>
      </c>
      <c r="J95" s="224" t="s">
        <v>8854</v>
      </c>
      <c r="K95" s="235" t="s">
        <v>8855</v>
      </c>
      <c r="L95" s="222" t="s">
        <v>8557</v>
      </c>
      <c r="M95" s="6" t="s">
        <v>4326</v>
      </c>
      <c r="N95" s="28" t="s">
        <v>608</v>
      </c>
      <c r="O95" s="28" t="s">
        <v>8856</v>
      </c>
      <c r="P95" s="28" t="s">
        <v>8736</v>
      </c>
      <c r="Q95" s="222" t="s">
        <v>6461</v>
      </c>
    </row>
    <row r="96" customFormat="false" ht="51.75" hidden="false" customHeight="true" outlineLevel="0" collapsed="false">
      <c r="A96" s="224" t="s">
        <v>8862</v>
      </c>
      <c r="B96" s="224" t="s">
        <v>6041</v>
      </c>
      <c r="C96" s="233" t="s">
        <v>8863</v>
      </c>
      <c r="D96" s="224" t="s">
        <v>8864</v>
      </c>
      <c r="E96" s="234" t="s">
        <v>8849</v>
      </c>
      <c r="F96" s="224" t="s">
        <v>8865</v>
      </c>
      <c r="G96" s="224" t="s">
        <v>8866</v>
      </c>
      <c r="H96" s="224" t="s">
        <v>8867</v>
      </c>
      <c r="I96" s="234" t="s">
        <v>8853</v>
      </c>
      <c r="J96" s="224" t="s">
        <v>8854</v>
      </c>
      <c r="K96" s="235" t="s">
        <v>8868</v>
      </c>
      <c r="L96" s="222" t="s">
        <v>8557</v>
      </c>
      <c r="M96" s="6" t="s">
        <v>4331</v>
      </c>
      <c r="N96" s="28" t="s">
        <v>608</v>
      </c>
      <c r="O96" s="28" t="s">
        <v>8856</v>
      </c>
      <c r="P96" s="28" t="s">
        <v>8736</v>
      </c>
      <c r="Q96" s="222" t="s">
        <v>6461</v>
      </c>
    </row>
    <row r="97" customFormat="false" ht="51.75" hidden="false" customHeight="true" outlineLevel="0" collapsed="false">
      <c r="A97" s="224" t="s">
        <v>8869</v>
      </c>
      <c r="B97" s="224" t="s">
        <v>6041</v>
      </c>
      <c r="C97" s="233" t="s">
        <v>8870</v>
      </c>
      <c r="D97" s="224" t="s">
        <v>8864</v>
      </c>
      <c r="E97" s="234" t="s">
        <v>8849</v>
      </c>
      <c r="F97" s="224" t="s">
        <v>8871</v>
      </c>
      <c r="G97" s="224" t="s">
        <v>8872</v>
      </c>
      <c r="H97" s="224" t="s">
        <v>8873</v>
      </c>
      <c r="I97" s="234" t="s">
        <v>8853</v>
      </c>
      <c r="J97" s="224" t="s">
        <v>8854</v>
      </c>
      <c r="K97" s="235" t="s">
        <v>8874</v>
      </c>
      <c r="L97" s="222" t="s">
        <v>8557</v>
      </c>
      <c r="M97" s="6" t="s">
        <v>4335</v>
      </c>
      <c r="N97" s="28" t="s">
        <v>608</v>
      </c>
      <c r="O97" s="28" t="s">
        <v>8856</v>
      </c>
      <c r="P97" s="28" t="s">
        <v>8736</v>
      </c>
      <c r="Q97" s="222" t="s">
        <v>6461</v>
      </c>
    </row>
    <row r="98" customFormat="false" ht="51.75" hidden="false" customHeight="true" outlineLevel="0" collapsed="false">
      <c r="A98" s="224" t="s">
        <v>8875</v>
      </c>
      <c r="B98" s="224" t="s">
        <v>6041</v>
      </c>
      <c r="C98" s="233" t="s">
        <v>8876</v>
      </c>
      <c r="D98" s="224" t="s">
        <v>8864</v>
      </c>
      <c r="E98" s="234" t="s">
        <v>8849</v>
      </c>
      <c r="F98" s="224" t="s">
        <v>8877</v>
      </c>
      <c r="G98" s="224" t="s">
        <v>8878</v>
      </c>
      <c r="H98" s="224" t="s">
        <v>8879</v>
      </c>
      <c r="I98" s="234" t="s">
        <v>8853</v>
      </c>
      <c r="J98" s="224" t="s">
        <v>8854</v>
      </c>
      <c r="K98" s="235" t="s">
        <v>8880</v>
      </c>
      <c r="L98" s="222" t="s">
        <v>8557</v>
      </c>
      <c r="M98" s="6" t="s">
        <v>4338</v>
      </c>
      <c r="N98" s="28" t="s">
        <v>608</v>
      </c>
      <c r="O98" s="28" t="s">
        <v>8856</v>
      </c>
      <c r="P98" s="28" t="s">
        <v>8736</v>
      </c>
      <c r="Q98" s="222" t="s">
        <v>6461</v>
      </c>
    </row>
    <row r="99" customFormat="false" ht="39" hidden="false" customHeight="true" outlineLevel="0" collapsed="false">
      <c r="A99" s="224" t="s">
        <v>8881</v>
      </c>
      <c r="B99" s="224" t="s">
        <v>6041</v>
      </c>
      <c r="C99" s="233" t="s">
        <v>8882</v>
      </c>
      <c r="D99" s="224" t="s">
        <v>7168</v>
      </c>
      <c r="E99" s="234" t="s">
        <v>8849</v>
      </c>
      <c r="F99" s="224" t="s">
        <v>8883</v>
      </c>
      <c r="G99" s="224" t="s">
        <v>8884</v>
      </c>
      <c r="H99" s="224" t="s">
        <v>8885</v>
      </c>
      <c r="I99" s="234" t="s">
        <v>8853</v>
      </c>
      <c r="J99" s="224" t="s">
        <v>8854</v>
      </c>
      <c r="K99" s="235" t="s">
        <v>8886</v>
      </c>
      <c r="L99" s="222" t="s">
        <v>8557</v>
      </c>
      <c r="M99" s="6" t="s">
        <v>4340</v>
      </c>
      <c r="N99" s="28" t="s">
        <v>608</v>
      </c>
      <c r="O99" s="28" t="s">
        <v>8856</v>
      </c>
      <c r="P99" s="28" t="s">
        <v>8736</v>
      </c>
      <c r="Q99" s="222" t="s">
        <v>6461</v>
      </c>
    </row>
    <row r="100" customFormat="false" ht="51.75" hidden="false" customHeight="true" outlineLevel="0" collapsed="false">
      <c r="A100" s="224" t="s">
        <v>8887</v>
      </c>
      <c r="B100" s="224" t="s">
        <v>6041</v>
      </c>
      <c r="C100" s="233" t="s">
        <v>8888</v>
      </c>
      <c r="D100" s="224" t="s">
        <v>8864</v>
      </c>
      <c r="E100" s="234" t="s">
        <v>8849</v>
      </c>
      <c r="F100" s="224" t="s">
        <v>8889</v>
      </c>
      <c r="G100" s="224" t="s">
        <v>8890</v>
      </c>
      <c r="H100" s="224" t="s">
        <v>8891</v>
      </c>
      <c r="I100" s="234" t="s">
        <v>8853</v>
      </c>
      <c r="J100" s="224" t="s">
        <v>8854</v>
      </c>
      <c r="K100" s="235" t="s">
        <v>8892</v>
      </c>
      <c r="L100" s="222" t="s">
        <v>8557</v>
      </c>
      <c r="M100" s="6" t="s">
        <v>4343</v>
      </c>
      <c r="N100" s="28" t="s">
        <v>608</v>
      </c>
      <c r="O100" s="28" t="s">
        <v>8856</v>
      </c>
      <c r="P100" s="28" t="s">
        <v>8736</v>
      </c>
      <c r="Q100" s="222" t="s">
        <v>6461</v>
      </c>
    </row>
    <row r="101" customFormat="false" ht="51.75" hidden="false" customHeight="true" outlineLevel="0" collapsed="false">
      <c r="A101" s="224" t="s">
        <v>8893</v>
      </c>
      <c r="B101" s="224" t="s">
        <v>6041</v>
      </c>
      <c r="C101" s="233" t="s">
        <v>8894</v>
      </c>
      <c r="D101" s="224" t="s">
        <v>8864</v>
      </c>
      <c r="E101" s="234" t="s">
        <v>8849</v>
      </c>
      <c r="F101" s="224" t="s">
        <v>8895</v>
      </c>
      <c r="G101" s="224" t="s">
        <v>8896</v>
      </c>
      <c r="H101" s="224" t="s">
        <v>8897</v>
      </c>
      <c r="I101" s="234" t="s">
        <v>8853</v>
      </c>
      <c r="J101" s="224" t="s">
        <v>8854</v>
      </c>
      <c r="K101" s="235" t="s">
        <v>8898</v>
      </c>
      <c r="L101" s="222" t="s">
        <v>8557</v>
      </c>
      <c r="M101" s="6" t="s">
        <v>4347</v>
      </c>
      <c r="N101" s="28" t="s">
        <v>608</v>
      </c>
      <c r="O101" s="28" t="s">
        <v>8856</v>
      </c>
      <c r="P101" s="28" t="s">
        <v>8736</v>
      </c>
      <c r="Q101" s="222" t="s">
        <v>6461</v>
      </c>
    </row>
    <row r="102" customFormat="false" ht="51.75" hidden="false" customHeight="true" outlineLevel="0" collapsed="false">
      <c r="A102" s="224" t="s">
        <v>8899</v>
      </c>
      <c r="B102" s="224" t="s">
        <v>6041</v>
      </c>
      <c r="C102" s="233" t="s">
        <v>8900</v>
      </c>
      <c r="D102" s="224" t="s">
        <v>8864</v>
      </c>
      <c r="E102" s="234" t="s">
        <v>8849</v>
      </c>
      <c r="F102" s="224" t="s">
        <v>8901</v>
      </c>
      <c r="G102" s="224" t="s">
        <v>8902</v>
      </c>
      <c r="H102" s="224" t="s">
        <v>8903</v>
      </c>
      <c r="I102" s="234" t="s">
        <v>8853</v>
      </c>
      <c r="J102" s="224" t="s">
        <v>8854</v>
      </c>
      <c r="K102" s="235" t="s">
        <v>8904</v>
      </c>
      <c r="L102" s="222" t="s">
        <v>8557</v>
      </c>
      <c r="M102" s="6" t="s">
        <v>4351</v>
      </c>
      <c r="N102" s="28" t="s">
        <v>608</v>
      </c>
      <c r="O102" s="28" t="s">
        <v>8856</v>
      </c>
      <c r="P102" s="28" t="s">
        <v>8736</v>
      </c>
      <c r="Q102" s="222" t="s">
        <v>6461</v>
      </c>
    </row>
    <row r="103" customFormat="false" ht="39" hidden="false" customHeight="true" outlineLevel="0" collapsed="false">
      <c r="A103" s="224" t="s">
        <v>8905</v>
      </c>
      <c r="B103" s="224" t="s">
        <v>6041</v>
      </c>
      <c r="C103" s="233" t="s">
        <v>8906</v>
      </c>
      <c r="D103" s="224" t="s">
        <v>8864</v>
      </c>
      <c r="E103" s="234" t="s">
        <v>8849</v>
      </c>
      <c r="F103" s="224" t="s">
        <v>8907</v>
      </c>
      <c r="G103" s="224" t="s">
        <v>8908</v>
      </c>
      <c r="H103" s="224" t="s">
        <v>8909</v>
      </c>
      <c r="I103" s="234" t="s">
        <v>8853</v>
      </c>
      <c r="J103" s="224" t="s">
        <v>8854</v>
      </c>
      <c r="K103" s="235" t="s">
        <v>8910</v>
      </c>
      <c r="L103" s="222" t="s">
        <v>8557</v>
      </c>
      <c r="M103" s="6" t="s">
        <v>4360</v>
      </c>
      <c r="N103" s="28" t="s">
        <v>608</v>
      </c>
      <c r="O103" s="28" t="s">
        <v>8856</v>
      </c>
      <c r="P103" s="28" t="s">
        <v>8736</v>
      </c>
      <c r="Q103" s="222" t="s">
        <v>6461</v>
      </c>
    </row>
    <row r="104" customFormat="false" ht="51.75" hidden="false" customHeight="true" outlineLevel="0" collapsed="false">
      <c r="A104" s="224" t="s">
        <v>8911</v>
      </c>
      <c r="B104" s="224" t="s">
        <v>6041</v>
      </c>
      <c r="C104" s="233" t="s">
        <v>8912</v>
      </c>
      <c r="D104" s="224" t="s">
        <v>8864</v>
      </c>
      <c r="E104" s="234" t="s">
        <v>8849</v>
      </c>
      <c r="F104" s="224" t="s">
        <v>8913</v>
      </c>
      <c r="G104" s="224" t="s">
        <v>8914</v>
      </c>
      <c r="H104" s="224" t="s">
        <v>8915</v>
      </c>
      <c r="I104" s="234" t="s">
        <v>8853</v>
      </c>
      <c r="J104" s="224" t="s">
        <v>8854</v>
      </c>
      <c r="K104" s="235" t="s">
        <v>8916</v>
      </c>
      <c r="L104" s="222" t="s">
        <v>8557</v>
      </c>
      <c r="M104" s="6" t="s">
        <v>4364</v>
      </c>
      <c r="N104" s="28" t="s">
        <v>608</v>
      </c>
      <c r="O104" s="28" t="s">
        <v>8856</v>
      </c>
      <c r="P104" s="28" t="s">
        <v>8736</v>
      </c>
      <c r="Q104" s="222" t="s">
        <v>6461</v>
      </c>
    </row>
    <row r="105" customFormat="false" ht="64.5" hidden="false" customHeight="true" outlineLevel="0" collapsed="false">
      <c r="A105" s="224" t="s">
        <v>8917</v>
      </c>
      <c r="B105" s="224" t="s">
        <v>6041</v>
      </c>
      <c r="C105" s="233" t="s">
        <v>8918</v>
      </c>
      <c r="D105" s="224" t="s">
        <v>8919</v>
      </c>
      <c r="E105" s="234" t="s">
        <v>8849</v>
      </c>
      <c r="F105" s="224" t="s">
        <v>8920</v>
      </c>
      <c r="G105" s="224" t="s">
        <v>8921</v>
      </c>
      <c r="H105" s="234" t="s">
        <v>8922</v>
      </c>
      <c r="I105" s="234" t="s">
        <v>8853</v>
      </c>
      <c r="J105" s="224" t="s">
        <v>8854</v>
      </c>
      <c r="K105" s="235" t="s">
        <v>8923</v>
      </c>
      <c r="L105" s="222" t="s">
        <v>8557</v>
      </c>
      <c r="M105" s="6" t="s">
        <v>4027</v>
      </c>
      <c r="N105" s="28" t="s">
        <v>608</v>
      </c>
      <c r="O105" s="28" t="s">
        <v>8856</v>
      </c>
      <c r="P105" s="28" t="s">
        <v>8736</v>
      </c>
      <c r="Q105" s="222" t="s">
        <v>6461</v>
      </c>
    </row>
    <row r="106" customFormat="false" ht="50.25" hidden="false" customHeight="true" outlineLevel="0" collapsed="false">
      <c r="A106" s="224" t="s">
        <v>8924</v>
      </c>
      <c r="B106" s="224" t="s">
        <v>6041</v>
      </c>
      <c r="C106" s="233" t="s">
        <v>8925</v>
      </c>
      <c r="D106" s="224" t="s">
        <v>8926</v>
      </c>
      <c r="E106" s="234" t="s">
        <v>8849</v>
      </c>
      <c r="F106" s="224" t="s">
        <v>8927</v>
      </c>
      <c r="G106" s="224" t="s">
        <v>8928</v>
      </c>
      <c r="H106" s="224" t="s">
        <v>8929</v>
      </c>
      <c r="I106" s="234" t="s">
        <v>8853</v>
      </c>
      <c r="J106" s="224" t="s">
        <v>8854</v>
      </c>
      <c r="K106" s="235" t="s">
        <v>8930</v>
      </c>
      <c r="L106" s="222" t="s">
        <v>8557</v>
      </c>
      <c r="M106" s="6" t="s">
        <v>4118</v>
      </c>
      <c r="N106" s="28" t="s">
        <v>608</v>
      </c>
      <c r="O106" s="28" t="s">
        <v>8856</v>
      </c>
      <c r="P106" s="28" t="s">
        <v>8736</v>
      </c>
      <c r="Q106" s="222" t="s">
        <v>6461</v>
      </c>
    </row>
    <row r="107" customFormat="false" ht="51.75" hidden="false" customHeight="true" outlineLevel="0" collapsed="false">
      <c r="A107" s="224" t="s">
        <v>8931</v>
      </c>
      <c r="B107" s="224" t="s">
        <v>6041</v>
      </c>
      <c r="C107" s="233" t="s">
        <v>8932</v>
      </c>
      <c r="D107" s="224" t="s">
        <v>8933</v>
      </c>
      <c r="E107" s="234" t="s">
        <v>8849</v>
      </c>
      <c r="F107" s="224" t="s">
        <v>8934</v>
      </c>
      <c r="G107" s="224" t="s">
        <v>8935</v>
      </c>
      <c r="H107" s="224" t="s">
        <v>8936</v>
      </c>
      <c r="I107" s="234" t="s">
        <v>8853</v>
      </c>
      <c r="J107" s="224" t="s">
        <v>8854</v>
      </c>
      <c r="K107" s="235" t="s">
        <v>8937</v>
      </c>
      <c r="L107" s="222" t="s">
        <v>8557</v>
      </c>
      <c r="M107" s="6" t="s">
        <v>4120</v>
      </c>
      <c r="N107" s="28" t="s">
        <v>608</v>
      </c>
      <c r="O107" s="28" t="s">
        <v>8856</v>
      </c>
      <c r="P107" s="28" t="s">
        <v>8736</v>
      </c>
      <c r="Q107" s="222" t="s">
        <v>6461</v>
      </c>
    </row>
    <row r="108" customFormat="false" ht="77.25" hidden="false" customHeight="true" outlineLevel="0" collapsed="false">
      <c r="A108" s="224" t="s">
        <v>8938</v>
      </c>
      <c r="B108" s="224" t="s">
        <v>6041</v>
      </c>
      <c r="C108" s="233" t="s">
        <v>8939</v>
      </c>
      <c r="D108" s="224" t="s">
        <v>8940</v>
      </c>
      <c r="E108" s="234" t="s">
        <v>8849</v>
      </c>
      <c r="F108" s="224" t="s">
        <v>8941</v>
      </c>
      <c r="G108" s="224" t="s">
        <v>8942</v>
      </c>
      <c r="H108" s="224" t="s">
        <v>8943</v>
      </c>
      <c r="I108" s="234" t="s">
        <v>8853</v>
      </c>
      <c r="J108" s="224" t="s">
        <v>8854</v>
      </c>
      <c r="K108" s="235" t="s">
        <v>8944</v>
      </c>
      <c r="L108" s="222" t="s">
        <v>8557</v>
      </c>
      <c r="M108" s="6" t="s">
        <v>4114</v>
      </c>
      <c r="N108" s="28" t="s">
        <v>608</v>
      </c>
      <c r="O108" s="28" t="s">
        <v>8856</v>
      </c>
      <c r="P108" s="28" t="s">
        <v>8736</v>
      </c>
      <c r="Q108" s="222" t="s">
        <v>6461</v>
      </c>
    </row>
    <row r="109" customFormat="false" ht="50.25" hidden="false" customHeight="true" outlineLevel="0" collapsed="false">
      <c r="A109" s="224" t="s">
        <v>8945</v>
      </c>
      <c r="B109" s="224" t="s">
        <v>6041</v>
      </c>
      <c r="C109" s="233" t="s">
        <v>8946</v>
      </c>
      <c r="D109" s="224" t="s">
        <v>8926</v>
      </c>
      <c r="E109" s="234" t="s">
        <v>8849</v>
      </c>
      <c r="F109" s="224" t="s">
        <v>8947</v>
      </c>
      <c r="G109" s="224" t="s">
        <v>8948</v>
      </c>
      <c r="H109" s="224" t="s">
        <v>8949</v>
      </c>
      <c r="I109" s="234" t="s">
        <v>8853</v>
      </c>
      <c r="J109" s="224" t="s">
        <v>8854</v>
      </c>
      <c r="K109" s="235" t="s">
        <v>8950</v>
      </c>
      <c r="L109" s="222" t="s">
        <v>8557</v>
      </c>
      <c r="M109" s="6" t="s">
        <v>4294</v>
      </c>
      <c r="N109" s="28" t="s">
        <v>608</v>
      </c>
      <c r="O109" s="28" t="s">
        <v>8856</v>
      </c>
      <c r="P109" s="28" t="s">
        <v>8736</v>
      </c>
      <c r="Q109" s="222" t="s">
        <v>6461</v>
      </c>
    </row>
    <row r="110" customFormat="false" ht="64.5" hidden="false" customHeight="true" outlineLevel="0" collapsed="false">
      <c r="A110" s="224" t="s">
        <v>5699</v>
      </c>
      <c r="B110" s="224" t="s">
        <v>6041</v>
      </c>
      <c r="C110" s="233" t="s">
        <v>8951</v>
      </c>
      <c r="D110" s="224" t="s">
        <v>8952</v>
      </c>
      <c r="E110" s="234" t="s">
        <v>8849</v>
      </c>
      <c r="F110" s="224" t="s">
        <v>8953</v>
      </c>
      <c r="G110" s="224" t="s">
        <v>8954</v>
      </c>
      <c r="H110" s="224" t="s">
        <v>8955</v>
      </c>
      <c r="I110" s="234" t="s">
        <v>8853</v>
      </c>
      <c r="J110" s="224" t="s">
        <v>8854</v>
      </c>
      <c r="K110" s="235" t="s">
        <v>8956</v>
      </c>
      <c r="L110" s="222" t="s">
        <v>8557</v>
      </c>
      <c r="M110" s="6" t="s">
        <v>4003</v>
      </c>
      <c r="N110" s="28" t="s">
        <v>608</v>
      </c>
      <c r="O110" s="28" t="s">
        <v>8856</v>
      </c>
      <c r="P110" s="28" t="s">
        <v>8736</v>
      </c>
      <c r="Q110" s="222" t="s">
        <v>6461</v>
      </c>
    </row>
    <row r="111" customFormat="false" ht="77.25" hidden="false" customHeight="true" outlineLevel="0" collapsed="false">
      <c r="A111" s="224" t="s">
        <v>8957</v>
      </c>
      <c r="B111" s="224" t="s">
        <v>6041</v>
      </c>
      <c r="C111" s="233" t="s">
        <v>8958</v>
      </c>
      <c r="D111" s="224" t="s">
        <v>8959</v>
      </c>
      <c r="E111" s="234" t="s">
        <v>8849</v>
      </c>
      <c r="F111" s="234" t="s">
        <v>8960</v>
      </c>
      <c r="G111" s="234" t="s">
        <v>8961</v>
      </c>
      <c r="H111" s="224" t="s">
        <v>8962</v>
      </c>
      <c r="I111" s="234" t="s">
        <v>8853</v>
      </c>
      <c r="J111" s="224" t="s">
        <v>8854</v>
      </c>
      <c r="K111" s="235" t="s">
        <v>8963</v>
      </c>
      <c r="L111" s="222" t="s">
        <v>8557</v>
      </c>
      <c r="M111" s="6" t="s">
        <v>5212</v>
      </c>
      <c r="N111" s="28" t="s">
        <v>608</v>
      </c>
      <c r="O111" s="28" t="s">
        <v>8856</v>
      </c>
      <c r="P111" s="28" t="s">
        <v>8736</v>
      </c>
      <c r="Q111" s="222" t="s">
        <v>6461</v>
      </c>
    </row>
    <row r="112" customFormat="false" ht="39" hidden="false" customHeight="true" outlineLevel="0" collapsed="false">
      <c r="A112" s="224" t="s">
        <v>8964</v>
      </c>
      <c r="B112" s="224" t="s">
        <v>6041</v>
      </c>
      <c r="C112" s="233" t="s">
        <v>8965</v>
      </c>
      <c r="D112" s="224" t="s">
        <v>8959</v>
      </c>
      <c r="E112" s="234" t="s">
        <v>8849</v>
      </c>
      <c r="F112" s="224" t="s">
        <v>8966</v>
      </c>
      <c r="G112" s="224" t="s">
        <v>8967</v>
      </c>
      <c r="H112" s="234" t="s">
        <v>8968</v>
      </c>
      <c r="I112" s="234" t="s">
        <v>8853</v>
      </c>
      <c r="J112" s="224" t="s">
        <v>8854</v>
      </c>
      <c r="K112" s="235" t="s">
        <v>8969</v>
      </c>
      <c r="L112" s="222" t="s">
        <v>8557</v>
      </c>
      <c r="M112" s="6" t="s">
        <v>5217</v>
      </c>
      <c r="N112" s="28" t="s">
        <v>608</v>
      </c>
      <c r="O112" s="28" t="s">
        <v>8856</v>
      </c>
      <c r="P112" s="28" t="s">
        <v>8736</v>
      </c>
      <c r="Q112" s="222" t="s">
        <v>6461</v>
      </c>
    </row>
    <row r="113" customFormat="false" ht="77.25" hidden="false" customHeight="true" outlineLevel="0" collapsed="false">
      <c r="A113" s="224" t="s">
        <v>8970</v>
      </c>
      <c r="B113" s="224" t="s">
        <v>6041</v>
      </c>
      <c r="C113" s="233" t="s">
        <v>8971</v>
      </c>
      <c r="D113" s="224" t="s">
        <v>8972</v>
      </c>
      <c r="E113" s="234" t="s">
        <v>8849</v>
      </c>
      <c r="F113" s="224" t="s">
        <v>8973</v>
      </c>
      <c r="G113" s="224" t="s">
        <v>8974</v>
      </c>
      <c r="H113" s="224" t="s">
        <v>8974</v>
      </c>
      <c r="I113" s="234" t="s">
        <v>8853</v>
      </c>
      <c r="J113" s="224" t="s">
        <v>8854</v>
      </c>
      <c r="K113" s="235" t="s">
        <v>8975</v>
      </c>
      <c r="L113" s="222" t="s">
        <v>8557</v>
      </c>
      <c r="M113" s="6" t="s">
        <v>7704</v>
      </c>
      <c r="N113" s="28" t="s">
        <v>608</v>
      </c>
      <c r="O113" s="28" t="s">
        <v>8856</v>
      </c>
      <c r="P113" s="28" t="s">
        <v>8736</v>
      </c>
      <c r="Q113" s="222" t="s">
        <v>6568</v>
      </c>
    </row>
    <row r="114" customFormat="false" ht="37.5" hidden="false" customHeight="true" outlineLevel="0" collapsed="false">
      <c r="A114" s="224" t="s">
        <v>8976</v>
      </c>
      <c r="B114" s="224" t="s">
        <v>6041</v>
      </c>
      <c r="C114" s="233" t="s">
        <v>8977</v>
      </c>
      <c r="D114" s="224" t="s">
        <v>8972</v>
      </c>
      <c r="E114" s="234" t="s">
        <v>8849</v>
      </c>
      <c r="F114" s="224" t="s">
        <v>8978</v>
      </c>
      <c r="G114" s="224" t="s">
        <v>8979</v>
      </c>
      <c r="H114" s="224" t="s">
        <v>8979</v>
      </c>
      <c r="I114" s="234" t="s">
        <v>8853</v>
      </c>
      <c r="J114" s="224" t="s">
        <v>8854</v>
      </c>
      <c r="K114" s="235" t="s">
        <v>8980</v>
      </c>
      <c r="L114" s="222" t="s">
        <v>8557</v>
      </c>
      <c r="M114" s="6" t="s">
        <v>7719</v>
      </c>
      <c r="N114" s="28" t="s">
        <v>608</v>
      </c>
      <c r="O114" s="28" t="s">
        <v>8856</v>
      </c>
      <c r="P114" s="28" t="s">
        <v>8736</v>
      </c>
      <c r="Q114" s="222" t="s">
        <v>6568</v>
      </c>
    </row>
    <row r="115" customFormat="false" ht="51.75" hidden="false" customHeight="true" outlineLevel="0" collapsed="false">
      <c r="A115" s="224" t="s">
        <v>8981</v>
      </c>
      <c r="B115" s="224" t="s">
        <v>6041</v>
      </c>
      <c r="C115" s="235" t="s">
        <v>8982</v>
      </c>
      <c r="D115" s="224" t="s">
        <v>8983</v>
      </c>
      <c r="E115" s="234" t="s">
        <v>8849</v>
      </c>
      <c r="F115" s="224" t="s">
        <v>8984</v>
      </c>
      <c r="G115" s="234" t="s">
        <v>8985</v>
      </c>
      <c r="H115" s="224" t="s">
        <v>8986</v>
      </c>
      <c r="I115" s="234" t="s">
        <v>8853</v>
      </c>
      <c r="J115" s="224" t="s">
        <v>8854</v>
      </c>
      <c r="K115" s="235" t="s">
        <v>8987</v>
      </c>
      <c r="L115" s="222" t="s">
        <v>8557</v>
      </c>
      <c r="M115" s="6" t="s">
        <v>2993</v>
      </c>
      <c r="N115" s="28" t="s">
        <v>608</v>
      </c>
      <c r="O115" s="28" t="s">
        <v>8856</v>
      </c>
      <c r="P115" s="28" t="s">
        <v>8736</v>
      </c>
      <c r="Q115" s="222" t="s">
        <v>6568</v>
      </c>
    </row>
    <row r="116" customFormat="false" ht="64.5" hidden="false" customHeight="true" outlineLevel="0" collapsed="false">
      <c r="A116" s="224" t="s">
        <v>8988</v>
      </c>
      <c r="B116" s="224" t="s">
        <v>6041</v>
      </c>
      <c r="C116" s="233" t="s">
        <v>8989</v>
      </c>
      <c r="D116" s="224" t="s">
        <v>8990</v>
      </c>
      <c r="E116" s="234" t="s">
        <v>8849</v>
      </c>
      <c r="F116" s="234" t="s">
        <v>8991</v>
      </c>
      <c r="G116" s="224" t="s">
        <v>8992</v>
      </c>
      <c r="H116" s="224" t="s">
        <v>8993</v>
      </c>
      <c r="I116" s="234" t="s">
        <v>8994</v>
      </c>
      <c r="J116" s="224" t="s">
        <v>8854</v>
      </c>
      <c r="K116" s="235" t="s">
        <v>8995</v>
      </c>
      <c r="L116" s="222" t="s">
        <v>8557</v>
      </c>
      <c r="M116" s="6" t="s">
        <v>5636</v>
      </c>
      <c r="N116" s="28" t="s">
        <v>608</v>
      </c>
      <c r="O116" s="28" t="s">
        <v>8856</v>
      </c>
      <c r="P116" s="28" t="s">
        <v>8736</v>
      </c>
      <c r="Q116" s="28" t="s">
        <v>206</v>
      </c>
    </row>
    <row r="117" customFormat="false" ht="77.25" hidden="false" customHeight="true" outlineLevel="0" collapsed="false">
      <c r="A117" s="224" t="s">
        <v>8996</v>
      </c>
      <c r="B117" s="224" t="s">
        <v>6041</v>
      </c>
      <c r="C117" s="233" t="s">
        <v>8997</v>
      </c>
      <c r="D117" s="224" t="s">
        <v>8998</v>
      </c>
      <c r="E117" s="234" t="s">
        <v>8849</v>
      </c>
      <c r="F117" s="224" t="s">
        <v>8999</v>
      </c>
      <c r="G117" s="224" t="s">
        <v>9000</v>
      </c>
      <c r="H117" s="224" t="s">
        <v>9001</v>
      </c>
      <c r="I117" s="234" t="s">
        <v>9002</v>
      </c>
      <c r="J117" s="224" t="s">
        <v>8854</v>
      </c>
      <c r="K117" s="235" t="s">
        <v>9003</v>
      </c>
      <c r="L117" s="222" t="s">
        <v>8557</v>
      </c>
      <c r="M117" s="6" t="s">
        <v>4038</v>
      </c>
      <c r="N117" s="28" t="s">
        <v>608</v>
      </c>
      <c r="O117" s="28" t="s">
        <v>9004</v>
      </c>
      <c r="P117" s="28" t="s">
        <v>8736</v>
      </c>
      <c r="Q117" s="222" t="s">
        <v>6461</v>
      </c>
    </row>
    <row r="118" customFormat="false" ht="64.5" hidden="false" customHeight="true" outlineLevel="0" collapsed="false">
      <c r="A118" s="224" t="s">
        <v>6801</v>
      </c>
      <c r="B118" s="224" t="s">
        <v>6041</v>
      </c>
      <c r="C118" s="233" t="s">
        <v>9005</v>
      </c>
      <c r="D118" s="224" t="s">
        <v>9006</v>
      </c>
      <c r="E118" s="234" t="s">
        <v>8849</v>
      </c>
      <c r="F118" s="234" t="s">
        <v>6802</v>
      </c>
      <c r="G118" s="224" t="s">
        <v>608</v>
      </c>
      <c r="H118" s="224" t="s">
        <v>9007</v>
      </c>
      <c r="I118" s="234" t="s">
        <v>9008</v>
      </c>
      <c r="J118" s="224" t="s">
        <v>8854</v>
      </c>
      <c r="K118" s="235" t="s">
        <v>9009</v>
      </c>
      <c r="L118" s="222" t="s">
        <v>8557</v>
      </c>
      <c r="M118" s="6" t="s">
        <v>6796</v>
      </c>
      <c r="N118" s="28" t="s">
        <v>608</v>
      </c>
      <c r="O118" s="28" t="s">
        <v>608</v>
      </c>
      <c r="P118" s="28" t="s">
        <v>8736</v>
      </c>
      <c r="Q118" s="222" t="s">
        <v>6461</v>
      </c>
    </row>
    <row r="119" customFormat="false" ht="64.5" hidden="false" customHeight="true" outlineLevel="0" collapsed="false">
      <c r="A119" s="224" t="s">
        <v>9010</v>
      </c>
      <c r="B119" s="224" t="s">
        <v>6041</v>
      </c>
      <c r="C119" s="233" t="s">
        <v>9011</v>
      </c>
      <c r="D119" s="224" t="s">
        <v>9012</v>
      </c>
      <c r="E119" s="234" t="s">
        <v>8849</v>
      </c>
      <c r="F119" s="224" t="s">
        <v>9013</v>
      </c>
      <c r="G119" s="224" t="s">
        <v>9014</v>
      </c>
      <c r="H119" s="224" t="s">
        <v>9015</v>
      </c>
      <c r="I119" s="234" t="s">
        <v>9016</v>
      </c>
      <c r="J119" s="224" t="s">
        <v>8854</v>
      </c>
      <c r="K119" s="235" t="s">
        <v>9017</v>
      </c>
      <c r="L119" s="222" t="s">
        <v>8557</v>
      </c>
      <c r="M119" s="6" t="s">
        <v>4015</v>
      </c>
      <c r="N119" s="28" t="s">
        <v>608</v>
      </c>
      <c r="O119" s="28" t="s">
        <v>9018</v>
      </c>
      <c r="P119" s="28" t="s">
        <v>8736</v>
      </c>
      <c r="Q119" s="222" t="s">
        <v>6461</v>
      </c>
    </row>
    <row r="120" customFormat="false" ht="64.5" hidden="false" customHeight="true" outlineLevel="0" collapsed="false">
      <c r="A120" s="224" t="s">
        <v>9019</v>
      </c>
      <c r="B120" s="224" t="s">
        <v>6062</v>
      </c>
      <c r="C120" s="233" t="s">
        <v>9020</v>
      </c>
      <c r="D120" s="224" t="s">
        <v>9021</v>
      </c>
      <c r="E120" s="234" t="s">
        <v>9022</v>
      </c>
      <c r="F120" s="224" t="s">
        <v>9023</v>
      </c>
      <c r="G120" s="224" t="s">
        <v>9024</v>
      </c>
      <c r="H120" s="234" t="s">
        <v>9025</v>
      </c>
      <c r="I120" s="234" t="s">
        <v>9026</v>
      </c>
      <c r="J120" s="224" t="s">
        <v>8854</v>
      </c>
      <c r="K120" s="235" t="s">
        <v>9027</v>
      </c>
      <c r="L120" s="222" t="s">
        <v>8557</v>
      </c>
      <c r="M120" s="6" t="s">
        <v>4057</v>
      </c>
      <c r="N120" s="28" t="s">
        <v>608</v>
      </c>
      <c r="O120" s="28" t="s">
        <v>608</v>
      </c>
      <c r="P120" s="28" t="s">
        <v>8711</v>
      </c>
      <c r="Q120" s="222" t="s">
        <v>6461</v>
      </c>
    </row>
    <row r="121" customFormat="false" ht="64.5" hidden="false" customHeight="true" outlineLevel="0" collapsed="false">
      <c r="A121" s="224" t="s">
        <v>9028</v>
      </c>
      <c r="B121" s="224" t="s">
        <v>6041</v>
      </c>
      <c r="C121" s="233" t="s">
        <v>9029</v>
      </c>
      <c r="D121" s="234" t="s">
        <v>9030</v>
      </c>
      <c r="E121" s="234" t="s">
        <v>9022</v>
      </c>
      <c r="F121" s="224" t="s">
        <v>9031</v>
      </c>
      <c r="G121" s="224" t="s">
        <v>9024</v>
      </c>
      <c r="H121" s="234" t="s">
        <v>9032</v>
      </c>
      <c r="I121" s="234" t="s">
        <v>9033</v>
      </c>
      <c r="J121" s="224" t="s">
        <v>8854</v>
      </c>
      <c r="K121" s="235" t="s">
        <v>9034</v>
      </c>
      <c r="L121" s="222" t="s">
        <v>8557</v>
      </c>
      <c r="M121" s="6" t="s">
        <v>4057</v>
      </c>
      <c r="N121" s="28" t="s">
        <v>608</v>
      </c>
      <c r="O121" s="28" t="s">
        <v>8856</v>
      </c>
      <c r="P121" s="28" t="s">
        <v>8711</v>
      </c>
      <c r="Q121" s="222" t="s">
        <v>9035</v>
      </c>
    </row>
    <row r="122" customFormat="false" ht="90" hidden="false" customHeight="true" outlineLevel="0" collapsed="false">
      <c r="A122" s="224" t="s">
        <v>9036</v>
      </c>
      <c r="B122" s="224" t="s">
        <v>6041</v>
      </c>
      <c r="C122" s="233" t="s">
        <v>9037</v>
      </c>
      <c r="D122" s="224" t="s">
        <v>9038</v>
      </c>
      <c r="E122" s="234" t="s">
        <v>9022</v>
      </c>
      <c r="F122" s="224" t="s">
        <v>9039</v>
      </c>
      <c r="G122" s="224" t="s">
        <v>9040</v>
      </c>
      <c r="H122" s="234" t="s">
        <v>9041</v>
      </c>
      <c r="I122" s="234" t="s">
        <v>9033</v>
      </c>
      <c r="J122" s="224" t="s">
        <v>8854</v>
      </c>
      <c r="K122" s="235" t="s">
        <v>9042</v>
      </c>
      <c r="L122" s="222" t="s">
        <v>8557</v>
      </c>
      <c r="M122" s="6" t="s">
        <v>4017</v>
      </c>
      <c r="N122" s="28" t="s">
        <v>608</v>
      </c>
      <c r="O122" s="28" t="s">
        <v>8856</v>
      </c>
      <c r="P122" s="28" t="s">
        <v>8711</v>
      </c>
      <c r="Q122" s="28" t="s">
        <v>9043</v>
      </c>
    </row>
    <row r="123" customFormat="false" ht="90" hidden="false" customHeight="true" outlineLevel="0" collapsed="false">
      <c r="A123" s="224" t="s">
        <v>9044</v>
      </c>
      <c r="B123" s="224" t="s">
        <v>6041</v>
      </c>
      <c r="C123" s="233" t="s">
        <v>9045</v>
      </c>
      <c r="D123" s="224" t="s">
        <v>9046</v>
      </c>
      <c r="E123" s="234" t="s">
        <v>9022</v>
      </c>
      <c r="F123" s="224" t="s">
        <v>9047</v>
      </c>
      <c r="G123" s="224" t="s">
        <v>9048</v>
      </c>
      <c r="H123" s="234" t="s">
        <v>9049</v>
      </c>
      <c r="I123" s="234" t="s">
        <v>9033</v>
      </c>
      <c r="J123" s="224" t="s">
        <v>8854</v>
      </c>
      <c r="K123" s="235" t="s">
        <v>9050</v>
      </c>
      <c r="L123" s="222" t="s">
        <v>8557</v>
      </c>
      <c r="M123" s="6" t="s">
        <v>4061</v>
      </c>
      <c r="N123" s="28" t="s">
        <v>608</v>
      </c>
      <c r="O123" s="28" t="s">
        <v>8856</v>
      </c>
      <c r="P123" s="28" t="s">
        <v>8711</v>
      </c>
      <c r="Q123" s="28" t="s">
        <v>9051</v>
      </c>
    </row>
    <row r="124" customFormat="false" ht="101.25" hidden="false" customHeight="true" outlineLevel="0" collapsed="false">
      <c r="A124" s="224" t="s">
        <v>9052</v>
      </c>
      <c r="B124" s="224" t="s">
        <v>6041</v>
      </c>
      <c r="C124" s="233" t="s">
        <v>9053</v>
      </c>
      <c r="D124" s="224" t="s">
        <v>9038</v>
      </c>
      <c r="E124" s="234" t="s">
        <v>9022</v>
      </c>
      <c r="F124" s="224" t="s">
        <v>9054</v>
      </c>
      <c r="G124" s="224" t="s">
        <v>9055</v>
      </c>
      <c r="H124" s="234" t="s">
        <v>9056</v>
      </c>
      <c r="I124" s="234" t="s">
        <v>9033</v>
      </c>
      <c r="J124" s="224" t="s">
        <v>8854</v>
      </c>
      <c r="K124" s="235" t="s">
        <v>9057</v>
      </c>
      <c r="L124" s="222" t="s">
        <v>8557</v>
      </c>
      <c r="M124" s="6" t="s">
        <v>4102</v>
      </c>
      <c r="N124" s="28" t="s">
        <v>608</v>
      </c>
      <c r="O124" s="28" t="s">
        <v>8856</v>
      </c>
      <c r="P124" s="28" t="s">
        <v>8711</v>
      </c>
      <c r="Q124" s="28" t="s">
        <v>9058</v>
      </c>
    </row>
    <row r="125" customFormat="false" ht="115.5" hidden="false" customHeight="true" outlineLevel="0" collapsed="false">
      <c r="A125" s="224" t="s">
        <v>9059</v>
      </c>
      <c r="B125" s="224" t="s">
        <v>6041</v>
      </c>
      <c r="C125" s="233" t="s">
        <v>9060</v>
      </c>
      <c r="D125" s="224" t="s">
        <v>9061</v>
      </c>
      <c r="E125" s="234" t="s">
        <v>9022</v>
      </c>
      <c r="F125" s="224" t="s">
        <v>9062</v>
      </c>
      <c r="G125" s="224" t="s">
        <v>9063</v>
      </c>
      <c r="H125" s="234" t="s">
        <v>9064</v>
      </c>
      <c r="I125" s="234" t="s">
        <v>9033</v>
      </c>
      <c r="J125" s="224" t="s">
        <v>8854</v>
      </c>
      <c r="K125" s="235" t="s">
        <v>9065</v>
      </c>
      <c r="L125" s="222" t="s">
        <v>8557</v>
      </c>
      <c r="M125" s="6" t="s">
        <v>4068</v>
      </c>
      <c r="N125" s="28" t="s">
        <v>608</v>
      </c>
      <c r="O125" s="28" t="s">
        <v>8856</v>
      </c>
      <c r="P125" s="28" t="s">
        <v>8711</v>
      </c>
      <c r="Q125" s="28" t="s">
        <v>9066</v>
      </c>
    </row>
    <row r="126" customFormat="false" ht="115.5" hidden="false" customHeight="true" outlineLevel="0" collapsed="false">
      <c r="A126" s="224" t="s">
        <v>9067</v>
      </c>
      <c r="B126" s="224" t="s">
        <v>6041</v>
      </c>
      <c r="C126" s="233" t="s">
        <v>9068</v>
      </c>
      <c r="D126" s="224" t="s">
        <v>9069</v>
      </c>
      <c r="E126" s="234" t="s">
        <v>9022</v>
      </c>
      <c r="F126" s="224" t="s">
        <v>9070</v>
      </c>
      <c r="G126" s="224" t="s">
        <v>9071</v>
      </c>
      <c r="H126" s="234" t="s">
        <v>9072</v>
      </c>
      <c r="I126" s="234" t="s">
        <v>9073</v>
      </c>
      <c r="J126" s="224" t="s">
        <v>8854</v>
      </c>
      <c r="K126" s="235" t="s">
        <v>9074</v>
      </c>
      <c r="L126" s="222" t="s">
        <v>8557</v>
      </c>
      <c r="M126" s="6" t="s">
        <v>4592</v>
      </c>
      <c r="N126" s="28" t="s">
        <v>608</v>
      </c>
      <c r="O126" s="28" t="s">
        <v>8856</v>
      </c>
      <c r="P126" s="28" t="s">
        <v>8711</v>
      </c>
      <c r="Q126" s="222" t="s">
        <v>6461</v>
      </c>
    </row>
    <row r="127" customFormat="false" ht="115.5" hidden="false" customHeight="true" outlineLevel="0" collapsed="false">
      <c r="A127" s="224" t="s">
        <v>9075</v>
      </c>
      <c r="B127" s="224" t="s">
        <v>6041</v>
      </c>
      <c r="C127" s="233" t="s">
        <v>9076</v>
      </c>
      <c r="D127" s="224" t="s">
        <v>9069</v>
      </c>
      <c r="E127" s="234" t="s">
        <v>9022</v>
      </c>
      <c r="F127" s="224" t="s">
        <v>9077</v>
      </c>
      <c r="G127" s="224" t="s">
        <v>9078</v>
      </c>
      <c r="H127" s="234" t="s">
        <v>9079</v>
      </c>
      <c r="I127" s="234" t="s">
        <v>9073</v>
      </c>
      <c r="J127" s="224" t="s">
        <v>8854</v>
      </c>
      <c r="K127" s="235" t="s">
        <v>9080</v>
      </c>
      <c r="L127" s="222" t="s">
        <v>8557</v>
      </c>
      <c r="M127" s="6" t="s">
        <v>4601</v>
      </c>
      <c r="N127" s="28" t="s">
        <v>608</v>
      </c>
      <c r="O127" s="28" t="s">
        <v>8856</v>
      </c>
      <c r="P127" s="28" t="s">
        <v>8711</v>
      </c>
      <c r="Q127" s="222" t="s">
        <v>9081</v>
      </c>
    </row>
    <row r="128" customFormat="false" ht="77.25" hidden="false" customHeight="true" outlineLevel="0" collapsed="false">
      <c r="A128" s="224" t="s">
        <v>9082</v>
      </c>
      <c r="B128" s="224" t="s">
        <v>6041</v>
      </c>
      <c r="C128" s="233" t="s">
        <v>9083</v>
      </c>
      <c r="D128" s="224" t="s">
        <v>9084</v>
      </c>
      <c r="E128" s="234" t="s">
        <v>9022</v>
      </c>
      <c r="F128" s="224" t="s">
        <v>9085</v>
      </c>
      <c r="G128" s="224" t="s">
        <v>608</v>
      </c>
      <c r="H128" s="224" t="s">
        <v>9086</v>
      </c>
      <c r="I128" s="234" t="s">
        <v>9087</v>
      </c>
      <c r="J128" s="224" t="s">
        <v>8854</v>
      </c>
      <c r="K128" s="235" t="s">
        <v>9088</v>
      </c>
      <c r="L128" s="222" t="s">
        <v>8557</v>
      </c>
      <c r="M128" s="6" t="s">
        <v>9089</v>
      </c>
      <c r="N128" s="28" t="s">
        <v>608</v>
      </c>
      <c r="O128" s="28" t="s">
        <v>608</v>
      </c>
      <c r="P128" s="28" t="s">
        <v>8711</v>
      </c>
      <c r="Q128" s="222" t="s">
        <v>6461</v>
      </c>
    </row>
    <row r="129" customFormat="false" ht="64.5" hidden="false" customHeight="true" outlineLevel="0" collapsed="false">
      <c r="A129" s="224" t="s">
        <v>7170</v>
      </c>
      <c r="B129" s="224" t="s">
        <v>6041</v>
      </c>
      <c r="C129" s="233" t="s">
        <v>9090</v>
      </c>
      <c r="D129" s="224" t="s">
        <v>9091</v>
      </c>
      <c r="E129" s="234" t="s">
        <v>8849</v>
      </c>
      <c r="F129" s="224" t="s">
        <v>9092</v>
      </c>
      <c r="G129" s="224" t="s">
        <v>9093</v>
      </c>
      <c r="H129" s="224" t="s">
        <v>9094</v>
      </c>
      <c r="I129" s="234" t="s">
        <v>9095</v>
      </c>
      <c r="J129" s="224" t="s">
        <v>8854</v>
      </c>
      <c r="K129" s="235" t="s">
        <v>9096</v>
      </c>
      <c r="L129" s="222" t="s">
        <v>8557</v>
      </c>
      <c r="M129" s="6" t="s">
        <v>9097</v>
      </c>
      <c r="N129" s="28" t="s">
        <v>608</v>
      </c>
      <c r="O129" s="28" t="s">
        <v>9098</v>
      </c>
      <c r="P129" s="28" t="s">
        <v>8736</v>
      </c>
      <c r="Q129" s="222" t="s">
        <v>6461</v>
      </c>
    </row>
    <row r="130" customFormat="false" ht="112.5" hidden="false" customHeight="true" outlineLevel="0" collapsed="false">
      <c r="A130" s="224" t="s">
        <v>6779</v>
      </c>
      <c r="B130" s="224" t="s">
        <v>6041</v>
      </c>
      <c r="C130" s="233" t="s">
        <v>9099</v>
      </c>
      <c r="D130" s="224" t="s">
        <v>9100</v>
      </c>
      <c r="E130" s="234" t="s">
        <v>8849</v>
      </c>
      <c r="F130" s="224" t="s">
        <v>9101</v>
      </c>
      <c r="G130" s="224" t="s">
        <v>9102</v>
      </c>
      <c r="H130" s="224" t="s">
        <v>9103</v>
      </c>
      <c r="I130" s="234" t="s">
        <v>9104</v>
      </c>
      <c r="J130" s="224" t="s">
        <v>8854</v>
      </c>
      <c r="K130" s="235" t="s">
        <v>9105</v>
      </c>
      <c r="L130" s="222" t="s">
        <v>8557</v>
      </c>
      <c r="M130" s="6" t="s">
        <v>9106</v>
      </c>
      <c r="N130" s="28" t="s">
        <v>9107</v>
      </c>
      <c r="O130" s="28" t="s">
        <v>9108</v>
      </c>
      <c r="P130" s="28" t="s">
        <v>8736</v>
      </c>
      <c r="Q130" s="222" t="s">
        <v>6461</v>
      </c>
    </row>
    <row r="131" customFormat="false" ht="51.75" hidden="false" customHeight="true" outlineLevel="0" collapsed="false">
      <c r="A131" s="224" t="s">
        <v>6793</v>
      </c>
      <c r="B131" s="224" t="s">
        <v>6041</v>
      </c>
      <c r="C131" s="233" t="s">
        <v>9109</v>
      </c>
      <c r="D131" s="224" t="s">
        <v>9110</v>
      </c>
      <c r="E131" s="234" t="s">
        <v>8849</v>
      </c>
      <c r="F131" s="224" t="s">
        <v>9111</v>
      </c>
      <c r="G131" s="224" t="s">
        <v>608</v>
      </c>
      <c r="H131" s="224" t="s">
        <v>9112</v>
      </c>
      <c r="I131" s="234" t="s">
        <v>9113</v>
      </c>
      <c r="J131" s="224" t="s">
        <v>8854</v>
      </c>
      <c r="K131" s="235" t="s">
        <v>9114</v>
      </c>
      <c r="L131" s="222" t="s">
        <v>8557</v>
      </c>
      <c r="M131" s="6" t="s">
        <v>4123</v>
      </c>
      <c r="N131" s="28" t="s">
        <v>608</v>
      </c>
      <c r="O131" s="28" t="s">
        <v>9115</v>
      </c>
      <c r="P131" s="28" t="s">
        <v>8736</v>
      </c>
      <c r="Q131" s="222" t="s">
        <v>6461</v>
      </c>
    </row>
    <row r="132" customFormat="false" ht="64.5" hidden="false" customHeight="true" outlineLevel="0" collapsed="false">
      <c r="A132" s="224" t="s">
        <v>9116</v>
      </c>
      <c r="B132" s="224" t="s">
        <v>6041</v>
      </c>
      <c r="C132" s="233" t="s">
        <v>9117</v>
      </c>
      <c r="D132" s="224" t="s">
        <v>9118</v>
      </c>
      <c r="E132" s="234" t="s">
        <v>8849</v>
      </c>
      <c r="F132" s="224" t="s">
        <v>9119</v>
      </c>
      <c r="G132" s="224" t="s">
        <v>9120</v>
      </c>
      <c r="H132" s="234" t="s">
        <v>9121</v>
      </c>
      <c r="I132" s="234" t="s">
        <v>9122</v>
      </c>
      <c r="J132" s="224" t="s">
        <v>8854</v>
      </c>
      <c r="K132" s="235" t="s">
        <v>9123</v>
      </c>
      <c r="L132" s="222" t="s">
        <v>8557</v>
      </c>
      <c r="M132" s="6" t="s">
        <v>608</v>
      </c>
      <c r="N132" s="28" t="s">
        <v>608</v>
      </c>
      <c r="O132" s="222" t="s">
        <v>9124</v>
      </c>
      <c r="P132" s="28" t="s">
        <v>98</v>
      </c>
      <c r="Q132" s="222" t="s">
        <v>9125</v>
      </c>
    </row>
    <row r="133" customFormat="false" ht="39" hidden="false" customHeight="true" outlineLevel="0" collapsed="false">
      <c r="A133" s="224" t="s">
        <v>9126</v>
      </c>
      <c r="B133" s="224" t="s">
        <v>6041</v>
      </c>
      <c r="C133" s="233" t="s">
        <v>9127</v>
      </c>
      <c r="D133" s="224" t="s">
        <v>9118</v>
      </c>
      <c r="E133" s="234" t="s">
        <v>8849</v>
      </c>
      <c r="F133" s="224" t="s">
        <v>9128</v>
      </c>
      <c r="G133" s="224" t="s">
        <v>9129</v>
      </c>
      <c r="H133" s="234" t="s">
        <v>9121</v>
      </c>
      <c r="I133" s="234" t="s">
        <v>9122</v>
      </c>
      <c r="J133" s="224" t="s">
        <v>8854</v>
      </c>
      <c r="K133" s="235" t="s">
        <v>9130</v>
      </c>
      <c r="L133" s="222" t="s">
        <v>8557</v>
      </c>
      <c r="M133" s="6" t="s">
        <v>608</v>
      </c>
      <c r="N133" s="28" t="s">
        <v>608</v>
      </c>
      <c r="O133" s="222" t="s">
        <v>9124</v>
      </c>
      <c r="P133" s="28" t="s">
        <v>98</v>
      </c>
      <c r="Q133" s="222" t="s">
        <v>9125</v>
      </c>
    </row>
    <row r="134" customFormat="false" ht="51.75" hidden="false" customHeight="true" outlineLevel="0" collapsed="false">
      <c r="A134" s="224" t="s">
        <v>9131</v>
      </c>
      <c r="B134" s="224" t="s">
        <v>6041</v>
      </c>
      <c r="C134" s="233" t="s">
        <v>9132</v>
      </c>
      <c r="D134" s="224" t="s">
        <v>9133</v>
      </c>
      <c r="E134" s="234" t="s">
        <v>8849</v>
      </c>
      <c r="F134" s="224" t="s">
        <v>9134</v>
      </c>
      <c r="G134" s="224" t="s">
        <v>9135</v>
      </c>
      <c r="H134" s="224" t="s">
        <v>9136</v>
      </c>
      <c r="I134" s="234" t="s">
        <v>9137</v>
      </c>
      <c r="J134" s="224" t="s">
        <v>8854</v>
      </c>
      <c r="K134" s="235" t="s">
        <v>9138</v>
      </c>
      <c r="L134" s="222" t="s">
        <v>8557</v>
      </c>
      <c r="M134" s="6" t="s">
        <v>608</v>
      </c>
      <c r="N134" s="28" t="s">
        <v>608</v>
      </c>
      <c r="O134" s="28" t="s">
        <v>608</v>
      </c>
      <c r="P134" s="28" t="s">
        <v>98</v>
      </c>
      <c r="Q134" s="222" t="s">
        <v>6461</v>
      </c>
    </row>
    <row r="135" customFormat="false" ht="39" hidden="false" customHeight="true" outlineLevel="0" collapsed="false">
      <c r="A135" s="224" t="s">
        <v>9139</v>
      </c>
      <c r="B135" s="224" t="s">
        <v>6041</v>
      </c>
      <c r="C135" s="233" t="s">
        <v>9140</v>
      </c>
      <c r="D135" s="224" t="s">
        <v>9118</v>
      </c>
      <c r="E135" s="234" t="s">
        <v>8849</v>
      </c>
      <c r="F135" s="224" t="s">
        <v>9141</v>
      </c>
      <c r="G135" s="224" t="s">
        <v>9142</v>
      </c>
      <c r="H135" s="224" t="s">
        <v>9143</v>
      </c>
      <c r="I135" s="234" t="s">
        <v>9144</v>
      </c>
      <c r="J135" s="224" t="s">
        <v>8854</v>
      </c>
      <c r="K135" s="235" t="s">
        <v>9145</v>
      </c>
      <c r="L135" s="222" t="s">
        <v>8557</v>
      </c>
      <c r="M135" s="6" t="s">
        <v>608</v>
      </c>
      <c r="N135" s="28" t="s">
        <v>608</v>
      </c>
      <c r="O135" s="222" t="s">
        <v>9146</v>
      </c>
      <c r="P135" s="28" t="s">
        <v>98</v>
      </c>
      <c r="Q135" s="222" t="s">
        <v>9125</v>
      </c>
    </row>
    <row r="136" customFormat="false" ht="51.75" hidden="false" customHeight="true" outlineLevel="0" collapsed="false">
      <c r="A136" s="224" t="s">
        <v>9147</v>
      </c>
      <c r="B136" s="224" t="s">
        <v>6041</v>
      </c>
      <c r="C136" s="233" t="s">
        <v>9148</v>
      </c>
      <c r="D136" s="224" t="s">
        <v>9118</v>
      </c>
      <c r="E136" s="234" t="s">
        <v>8849</v>
      </c>
      <c r="F136" s="224" t="s">
        <v>9149</v>
      </c>
      <c r="G136" s="224" t="s">
        <v>9150</v>
      </c>
      <c r="H136" s="234" t="s">
        <v>9151</v>
      </c>
      <c r="I136" s="234" t="s">
        <v>9152</v>
      </c>
      <c r="J136" s="224" t="s">
        <v>8854</v>
      </c>
      <c r="K136" s="235" t="s">
        <v>9153</v>
      </c>
      <c r="L136" s="222" t="s">
        <v>8557</v>
      </c>
      <c r="M136" s="6" t="s">
        <v>608</v>
      </c>
      <c r="N136" s="28" t="s">
        <v>608</v>
      </c>
      <c r="O136" s="28" t="s">
        <v>608</v>
      </c>
      <c r="P136" s="28" t="s">
        <v>608</v>
      </c>
      <c r="Q136" s="222" t="s">
        <v>9125</v>
      </c>
    </row>
    <row r="137" customFormat="false" ht="51.75" hidden="false" customHeight="true" outlineLevel="0" collapsed="false">
      <c r="A137" s="224" t="s">
        <v>9154</v>
      </c>
      <c r="B137" s="224" t="s">
        <v>6041</v>
      </c>
      <c r="C137" s="233" t="s">
        <v>9155</v>
      </c>
      <c r="D137" s="224" t="s">
        <v>9156</v>
      </c>
      <c r="E137" s="234" t="s">
        <v>8849</v>
      </c>
      <c r="F137" s="224" t="s">
        <v>9157</v>
      </c>
      <c r="G137" s="224" t="s">
        <v>9158</v>
      </c>
      <c r="H137" s="224" t="s">
        <v>608</v>
      </c>
      <c r="I137" s="234" t="s">
        <v>9152</v>
      </c>
      <c r="J137" s="224" t="s">
        <v>8854</v>
      </c>
      <c r="K137" s="235" t="s">
        <v>9159</v>
      </c>
      <c r="L137" s="222" t="s">
        <v>8557</v>
      </c>
      <c r="M137" s="6" t="s">
        <v>608</v>
      </c>
      <c r="N137" s="28" t="s">
        <v>608</v>
      </c>
      <c r="O137" s="28" t="s">
        <v>608</v>
      </c>
      <c r="P137" s="28" t="s">
        <v>98</v>
      </c>
      <c r="Q137" s="222" t="s">
        <v>6461</v>
      </c>
    </row>
    <row r="138" customFormat="false" ht="26.25" hidden="false" customHeight="true" outlineLevel="0" collapsed="false">
      <c r="A138" s="224" t="s">
        <v>9160</v>
      </c>
      <c r="B138" s="224" t="s">
        <v>6041</v>
      </c>
      <c r="C138" s="233" t="s">
        <v>9161</v>
      </c>
      <c r="D138" s="224" t="s">
        <v>9162</v>
      </c>
      <c r="E138" s="234" t="s">
        <v>9163</v>
      </c>
      <c r="F138" s="224" t="s">
        <v>9164</v>
      </c>
      <c r="G138" s="224" t="s">
        <v>608</v>
      </c>
      <c r="H138" s="224" t="s">
        <v>608</v>
      </c>
      <c r="I138" s="234" t="s">
        <v>9165</v>
      </c>
      <c r="J138" s="224" t="s">
        <v>8854</v>
      </c>
      <c r="K138" s="235" t="s">
        <v>9166</v>
      </c>
      <c r="L138" s="222" t="s">
        <v>8557</v>
      </c>
      <c r="M138" s="6" t="s">
        <v>608</v>
      </c>
      <c r="N138" s="28" t="s">
        <v>608</v>
      </c>
      <c r="O138" s="28" t="s">
        <v>608</v>
      </c>
      <c r="P138" s="28" t="s">
        <v>8687</v>
      </c>
      <c r="Q138" s="222" t="s">
        <v>6461</v>
      </c>
    </row>
    <row r="139" customFormat="false" ht="51.75" hidden="false" customHeight="true" outlineLevel="0" collapsed="false">
      <c r="A139" s="224" t="s">
        <v>9167</v>
      </c>
      <c r="B139" s="224" t="s">
        <v>6041</v>
      </c>
      <c r="C139" s="233" t="s">
        <v>9168</v>
      </c>
      <c r="D139" s="224" t="s">
        <v>9169</v>
      </c>
      <c r="E139" s="234" t="s">
        <v>9170</v>
      </c>
      <c r="F139" s="224" t="s">
        <v>9171</v>
      </c>
      <c r="G139" s="224" t="s">
        <v>608</v>
      </c>
      <c r="H139" s="224" t="s">
        <v>608</v>
      </c>
      <c r="I139" s="234" t="s">
        <v>9172</v>
      </c>
      <c r="J139" s="224" t="s">
        <v>8854</v>
      </c>
      <c r="K139" s="235" t="s">
        <v>9173</v>
      </c>
      <c r="L139" s="222" t="s">
        <v>8557</v>
      </c>
      <c r="M139" s="6" t="s">
        <v>608</v>
      </c>
      <c r="N139" s="28" t="s">
        <v>608</v>
      </c>
      <c r="O139" s="28" t="s">
        <v>608</v>
      </c>
      <c r="P139" s="28" t="s">
        <v>8687</v>
      </c>
      <c r="Q139" s="222" t="s">
        <v>6461</v>
      </c>
    </row>
    <row r="140" customFormat="false" ht="26.25" hidden="false" customHeight="true" outlineLevel="0" collapsed="false">
      <c r="A140" s="224" t="s">
        <v>9174</v>
      </c>
      <c r="B140" s="224" t="s">
        <v>6041</v>
      </c>
      <c r="C140" s="233" t="s">
        <v>9175</v>
      </c>
      <c r="D140" s="224" t="s">
        <v>9176</v>
      </c>
      <c r="E140" s="234" t="s">
        <v>9022</v>
      </c>
      <c r="F140" s="224" t="s">
        <v>9177</v>
      </c>
      <c r="G140" s="224" t="s">
        <v>9178</v>
      </c>
      <c r="H140" s="224" t="s">
        <v>9179</v>
      </c>
      <c r="I140" s="234" t="s">
        <v>9180</v>
      </c>
      <c r="J140" s="224" t="s">
        <v>8854</v>
      </c>
      <c r="K140" s="235" t="s">
        <v>9181</v>
      </c>
      <c r="L140" s="222" t="s">
        <v>8557</v>
      </c>
      <c r="M140" s="6" t="s">
        <v>608</v>
      </c>
      <c r="N140" s="28" t="s">
        <v>608</v>
      </c>
      <c r="O140" s="28" t="s">
        <v>9182</v>
      </c>
      <c r="P140" s="28" t="s">
        <v>98</v>
      </c>
      <c r="Q140" s="222" t="s">
        <v>6568</v>
      </c>
    </row>
    <row r="141" customFormat="false" ht="51.75" hidden="false" customHeight="true" outlineLevel="0" collapsed="false">
      <c r="A141" s="224" t="s">
        <v>9183</v>
      </c>
      <c r="B141" s="224" t="s">
        <v>6041</v>
      </c>
      <c r="C141" s="233" t="s">
        <v>9184</v>
      </c>
      <c r="D141" s="224" t="s">
        <v>9185</v>
      </c>
      <c r="E141" s="234" t="s">
        <v>8849</v>
      </c>
      <c r="F141" s="224" t="s">
        <v>9186</v>
      </c>
      <c r="G141" s="234" t="s">
        <v>9187</v>
      </c>
      <c r="H141" s="234" t="s">
        <v>9188</v>
      </c>
      <c r="I141" s="234" t="s">
        <v>9189</v>
      </c>
      <c r="J141" s="224" t="s">
        <v>8854</v>
      </c>
      <c r="K141" s="235" t="s">
        <v>9190</v>
      </c>
      <c r="L141" s="222" t="s">
        <v>8557</v>
      </c>
      <c r="M141" s="6" t="s">
        <v>608</v>
      </c>
      <c r="N141" s="28" t="s">
        <v>608</v>
      </c>
      <c r="O141" s="28" t="s">
        <v>9191</v>
      </c>
      <c r="P141" s="28" t="s">
        <v>608</v>
      </c>
      <c r="Q141" s="222" t="s">
        <v>6461</v>
      </c>
    </row>
    <row r="142" customFormat="false" ht="51.75" hidden="false" customHeight="true" outlineLevel="0" collapsed="false">
      <c r="A142" s="224" t="s">
        <v>9192</v>
      </c>
      <c r="B142" s="224" t="s">
        <v>6041</v>
      </c>
      <c r="C142" s="233" t="s">
        <v>9193</v>
      </c>
      <c r="D142" s="224" t="s">
        <v>9194</v>
      </c>
      <c r="E142" s="234" t="s">
        <v>8849</v>
      </c>
      <c r="F142" s="224" t="s">
        <v>9195</v>
      </c>
      <c r="G142" s="224" t="s">
        <v>9196</v>
      </c>
      <c r="H142" s="234" t="s">
        <v>9197</v>
      </c>
      <c r="I142" s="234" t="s">
        <v>9198</v>
      </c>
      <c r="J142" s="224" t="s">
        <v>8854</v>
      </c>
      <c r="K142" s="235" t="s">
        <v>9199</v>
      </c>
      <c r="L142" s="222" t="s">
        <v>8557</v>
      </c>
      <c r="M142" s="6" t="s">
        <v>608</v>
      </c>
      <c r="N142" s="28" t="s">
        <v>608</v>
      </c>
      <c r="O142" s="222" t="s">
        <v>9200</v>
      </c>
      <c r="P142" s="28" t="s">
        <v>141</v>
      </c>
      <c r="Q142" s="222" t="s">
        <v>6461</v>
      </c>
    </row>
    <row r="143" customFormat="false" ht="64.5" hidden="false" customHeight="true" outlineLevel="0" collapsed="false">
      <c r="A143" s="224" t="s">
        <v>9201</v>
      </c>
      <c r="B143" s="224" t="s">
        <v>6041</v>
      </c>
      <c r="C143" s="233" t="s">
        <v>9202</v>
      </c>
      <c r="D143" s="224" t="s">
        <v>9203</v>
      </c>
      <c r="E143" s="234" t="s">
        <v>9022</v>
      </c>
      <c r="F143" s="224" t="s">
        <v>9204</v>
      </c>
      <c r="G143" s="224" t="s">
        <v>9205</v>
      </c>
      <c r="H143" s="224" t="s">
        <v>9206</v>
      </c>
      <c r="I143" s="234" t="s">
        <v>9207</v>
      </c>
      <c r="J143" s="224" t="s">
        <v>8854</v>
      </c>
      <c r="K143" s="235" t="s">
        <v>9208</v>
      </c>
      <c r="L143" s="222" t="s">
        <v>8557</v>
      </c>
      <c r="M143" s="6" t="s">
        <v>4068</v>
      </c>
      <c r="N143" s="28" t="s">
        <v>608</v>
      </c>
      <c r="O143" s="28" t="s">
        <v>9209</v>
      </c>
      <c r="P143" s="28" t="s">
        <v>141</v>
      </c>
      <c r="Q143" s="222" t="s">
        <v>6568</v>
      </c>
    </row>
    <row r="144" customFormat="false" ht="26.25" hidden="false" customHeight="true" outlineLevel="0" collapsed="false">
      <c r="A144" s="224" t="s">
        <v>9210</v>
      </c>
      <c r="B144" s="224" t="s">
        <v>6041</v>
      </c>
      <c r="C144" s="233" t="s">
        <v>9211</v>
      </c>
      <c r="D144" s="224" t="s">
        <v>9212</v>
      </c>
      <c r="E144" s="234" t="s">
        <v>8849</v>
      </c>
      <c r="F144" s="224" t="s">
        <v>9213</v>
      </c>
      <c r="G144" s="224" t="s">
        <v>9214</v>
      </c>
      <c r="H144" s="234" t="s">
        <v>9215</v>
      </c>
      <c r="I144" s="234" t="s">
        <v>9216</v>
      </c>
      <c r="J144" s="224" t="s">
        <v>8854</v>
      </c>
      <c r="K144" s="235" t="s">
        <v>9217</v>
      </c>
      <c r="L144" s="222" t="s">
        <v>8557</v>
      </c>
      <c r="M144" s="6" t="s">
        <v>608</v>
      </c>
      <c r="N144" s="28" t="s">
        <v>608</v>
      </c>
      <c r="O144" s="28" t="s">
        <v>608</v>
      </c>
      <c r="P144" s="28" t="s">
        <v>608</v>
      </c>
      <c r="Q144" s="222" t="s">
        <v>6568</v>
      </c>
    </row>
    <row r="145" customFormat="false" ht="77.25" hidden="false" customHeight="true" outlineLevel="0" collapsed="false">
      <c r="A145" s="224" t="s">
        <v>9218</v>
      </c>
      <c r="B145" s="224" t="s">
        <v>6041</v>
      </c>
      <c r="C145" s="235" t="s">
        <v>9219</v>
      </c>
      <c r="D145" s="234" t="s">
        <v>9220</v>
      </c>
      <c r="E145" s="234" t="s">
        <v>9221</v>
      </c>
      <c r="F145" s="224" t="s">
        <v>9222</v>
      </c>
      <c r="G145" s="224" t="s">
        <v>9223</v>
      </c>
      <c r="H145" s="234" t="s">
        <v>9224</v>
      </c>
      <c r="I145" s="234" t="s">
        <v>9225</v>
      </c>
      <c r="J145" s="224" t="s">
        <v>8854</v>
      </c>
      <c r="K145" s="235" t="s">
        <v>9226</v>
      </c>
      <c r="L145" s="222" t="s">
        <v>8557</v>
      </c>
      <c r="M145" s="6" t="s">
        <v>608</v>
      </c>
      <c r="N145" s="28" t="s">
        <v>608</v>
      </c>
      <c r="O145" s="28" t="s">
        <v>608</v>
      </c>
      <c r="P145" s="28" t="s">
        <v>608</v>
      </c>
      <c r="Q145" s="28" t="s">
        <v>608</v>
      </c>
    </row>
    <row r="146" customFormat="false" ht="26.25" hidden="false" customHeight="true" outlineLevel="0" collapsed="false">
      <c r="A146" s="224" t="s">
        <v>9227</v>
      </c>
      <c r="B146" s="224" t="s">
        <v>6041</v>
      </c>
      <c r="C146" s="233" t="s">
        <v>9228</v>
      </c>
      <c r="D146" s="224" t="s">
        <v>9133</v>
      </c>
      <c r="E146" s="234" t="s">
        <v>8849</v>
      </c>
      <c r="F146" s="224" t="s">
        <v>9229</v>
      </c>
      <c r="G146" s="224" t="s">
        <v>9230</v>
      </c>
      <c r="H146" s="234" t="s">
        <v>9231</v>
      </c>
      <c r="I146" s="234" t="s">
        <v>9232</v>
      </c>
      <c r="J146" s="224" t="s">
        <v>8854</v>
      </c>
      <c r="K146" s="235" t="s">
        <v>9233</v>
      </c>
      <c r="L146" s="222" t="s">
        <v>8557</v>
      </c>
      <c r="M146" s="6" t="s">
        <v>608</v>
      </c>
      <c r="N146" s="28" t="s">
        <v>608</v>
      </c>
      <c r="O146" s="28" t="s">
        <v>608</v>
      </c>
      <c r="P146" s="28" t="s">
        <v>608</v>
      </c>
      <c r="Q146" s="28" t="s">
        <v>608</v>
      </c>
    </row>
    <row r="147" customFormat="false" ht="39" hidden="false" customHeight="true" outlineLevel="0" collapsed="false">
      <c r="A147" s="224" t="s">
        <v>9234</v>
      </c>
      <c r="B147" s="224" t="s">
        <v>6041</v>
      </c>
      <c r="C147" s="233" t="s">
        <v>9235</v>
      </c>
      <c r="D147" s="234" t="s">
        <v>9236</v>
      </c>
      <c r="E147" s="224" t="s">
        <v>608</v>
      </c>
      <c r="F147" s="224" t="s">
        <v>9237</v>
      </c>
      <c r="G147" s="224" t="s">
        <v>608</v>
      </c>
      <c r="H147" s="224" t="s">
        <v>608</v>
      </c>
      <c r="I147" s="234" t="s">
        <v>9238</v>
      </c>
      <c r="J147" s="224" t="s">
        <v>8854</v>
      </c>
      <c r="K147" s="235" t="s">
        <v>9239</v>
      </c>
      <c r="L147" s="222" t="s">
        <v>8557</v>
      </c>
      <c r="M147" s="6" t="s">
        <v>608</v>
      </c>
      <c r="N147" s="28" t="s">
        <v>608</v>
      </c>
      <c r="O147" s="28" t="s">
        <v>608</v>
      </c>
      <c r="P147" s="28" t="s">
        <v>608</v>
      </c>
      <c r="Q147" s="28" t="s">
        <v>608</v>
      </c>
    </row>
    <row r="148" customFormat="false" ht="64.5" hidden="false" customHeight="true" outlineLevel="0" collapsed="false">
      <c r="A148" s="224" t="s">
        <v>9240</v>
      </c>
      <c r="B148" s="224" t="s">
        <v>6041</v>
      </c>
      <c r="C148" s="233" t="s">
        <v>9241</v>
      </c>
      <c r="D148" s="224" t="s">
        <v>8926</v>
      </c>
      <c r="E148" s="234" t="s">
        <v>8849</v>
      </c>
      <c r="F148" s="224" t="s">
        <v>9242</v>
      </c>
      <c r="G148" s="224" t="s">
        <v>9243</v>
      </c>
      <c r="H148" s="224" t="s">
        <v>9244</v>
      </c>
      <c r="I148" s="234" t="s">
        <v>9245</v>
      </c>
      <c r="J148" s="224" t="s">
        <v>8854</v>
      </c>
      <c r="K148" s="235" t="s">
        <v>9246</v>
      </c>
      <c r="L148" s="222" t="s">
        <v>8557</v>
      </c>
      <c r="M148" s="6" t="s">
        <v>4116</v>
      </c>
      <c r="N148" s="28" t="s">
        <v>608</v>
      </c>
      <c r="O148" s="28" t="s">
        <v>608</v>
      </c>
      <c r="P148" s="28" t="s">
        <v>8736</v>
      </c>
      <c r="Q148" s="222" t="s">
        <v>6461</v>
      </c>
    </row>
    <row r="149" customFormat="false" ht="39" hidden="false" customHeight="true" outlineLevel="0" collapsed="false">
      <c r="A149" s="224" t="s">
        <v>9247</v>
      </c>
      <c r="B149" s="224" t="s">
        <v>6041</v>
      </c>
      <c r="C149" s="233" t="s">
        <v>9248</v>
      </c>
      <c r="D149" s="224" t="s">
        <v>9249</v>
      </c>
      <c r="E149" s="234" t="s">
        <v>8849</v>
      </c>
      <c r="F149" s="224" t="s">
        <v>9250</v>
      </c>
      <c r="G149" s="224" t="s">
        <v>9251</v>
      </c>
      <c r="H149" s="224" t="s">
        <v>9252</v>
      </c>
      <c r="I149" s="234" t="s">
        <v>9245</v>
      </c>
      <c r="J149" s="224" t="s">
        <v>8854</v>
      </c>
      <c r="K149" s="235" t="s">
        <v>9253</v>
      </c>
      <c r="L149" s="222" t="s">
        <v>8557</v>
      </c>
      <c r="M149" s="6" t="s">
        <v>4137</v>
      </c>
      <c r="N149" s="28" t="s">
        <v>608</v>
      </c>
      <c r="O149" s="28" t="s">
        <v>608</v>
      </c>
      <c r="P149" s="28" t="s">
        <v>8736</v>
      </c>
      <c r="Q149" s="222" t="s">
        <v>6461</v>
      </c>
    </row>
    <row r="150" customFormat="false" ht="77.25" hidden="false" customHeight="true" outlineLevel="0" collapsed="false">
      <c r="A150" s="224" t="s">
        <v>9254</v>
      </c>
      <c r="B150" s="224" t="s">
        <v>6041</v>
      </c>
      <c r="C150" s="233" t="s">
        <v>9255</v>
      </c>
      <c r="D150" s="224" t="s">
        <v>8919</v>
      </c>
      <c r="E150" s="234" t="s">
        <v>8849</v>
      </c>
      <c r="F150" s="224" t="s">
        <v>9256</v>
      </c>
      <c r="G150" s="224" t="s">
        <v>9257</v>
      </c>
      <c r="H150" s="224" t="s">
        <v>9258</v>
      </c>
      <c r="I150" s="234" t="s">
        <v>9245</v>
      </c>
      <c r="J150" s="224" t="s">
        <v>8854</v>
      </c>
      <c r="K150" s="235" t="s">
        <v>9259</v>
      </c>
      <c r="L150" s="222" t="s">
        <v>8557</v>
      </c>
      <c r="M150" s="6" t="s">
        <v>4192</v>
      </c>
      <c r="N150" s="28" t="s">
        <v>608</v>
      </c>
      <c r="O150" s="28" t="s">
        <v>608</v>
      </c>
      <c r="P150" s="28" t="s">
        <v>8736</v>
      </c>
      <c r="Q150" s="222" t="s">
        <v>6461</v>
      </c>
    </row>
    <row r="151" customFormat="false" ht="64.5" hidden="false" customHeight="true" outlineLevel="0" collapsed="false">
      <c r="A151" s="224" t="s">
        <v>9260</v>
      </c>
      <c r="B151" s="224" t="s">
        <v>6041</v>
      </c>
      <c r="C151" s="233" t="s">
        <v>9261</v>
      </c>
      <c r="D151" s="224" t="s">
        <v>8998</v>
      </c>
      <c r="E151" s="234" t="s">
        <v>8849</v>
      </c>
      <c r="F151" s="224" t="s">
        <v>9262</v>
      </c>
      <c r="G151" s="224" t="s">
        <v>9263</v>
      </c>
      <c r="H151" s="224" t="s">
        <v>9264</v>
      </c>
      <c r="I151" s="234" t="s">
        <v>9265</v>
      </c>
      <c r="J151" s="224" t="s">
        <v>8854</v>
      </c>
      <c r="K151" s="235" t="s">
        <v>9266</v>
      </c>
      <c r="L151" s="222" t="s">
        <v>8557</v>
      </c>
      <c r="M151" s="6" t="s">
        <v>4020</v>
      </c>
      <c r="N151" s="28" t="s">
        <v>608</v>
      </c>
      <c r="O151" s="222" t="s">
        <v>9267</v>
      </c>
      <c r="P151" s="28" t="s">
        <v>8736</v>
      </c>
      <c r="Q151" s="222" t="s">
        <v>6461</v>
      </c>
    </row>
    <row r="152" customFormat="false" ht="64.5" hidden="false" customHeight="true" outlineLevel="0" collapsed="false">
      <c r="A152" s="224" t="s">
        <v>5687</v>
      </c>
      <c r="B152" s="224" t="s">
        <v>6041</v>
      </c>
      <c r="C152" s="233" t="s">
        <v>9268</v>
      </c>
      <c r="D152" s="234" t="s">
        <v>9269</v>
      </c>
      <c r="E152" s="234" t="s">
        <v>9221</v>
      </c>
      <c r="F152" s="224" t="s">
        <v>9270</v>
      </c>
      <c r="G152" s="224" t="s">
        <v>9271</v>
      </c>
      <c r="H152" s="224" t="s">
        <v>9272</v>
      </c>
      <c r="I152" s="234" t="s">
        <v>9273</v>
      </c>
      <c r="J152" s="224" t="s">
        <v>8854</v>
      </c>
      <c r="K152" s="235" t="s">
        <v>9274</v>
      </c>
      <c r="L152" s="222" t="s">
        <v>8557</v>
      </c>
      <c r="M152" s="6" t="s">
        <v>608</v>
      </c>
      <c r="N152" s="28" t="s">
        <v>608</v>
      </c>
      <c r="O152" s="28" t="s">
        <v>9115</v>
      </c>
      <c r="P152" s="28" t="s">
        <v>94</v>
      </c>
      <c r="Q152" s="28" t="s">
        <v>608</v>
      </c>
    </row>
    <row r="153" customFormat="false" ht="126.75" hidden="false" customHeight="true" outlineLevel="0" collapsed="false">
      <c r="A153" s="224" t="s">
        <v>9275</v>
      </c>
      <c r="B153" s="224" t="s">
        <v>6062</v>
      </c>
      <c r="C153" s="233" t="s">
        <v>9276</v>
      </c>
      <c r="D153" s="234" t="s">
        <v>9277</v>
      </c>
      <c r="E153" s="234" t="s">
        <v>9221</v>
      </c>
      <c r="F153" s="224" t="s">
        <v>9278</v>
      </c>
      <c r="G153" s="224" t="s">
        <v>9279</v>
      </c>
      <c r="H153" s="234" t="s">
        <v>9280</v>
      </c>
      <c r="I153" s="234" t="s">
        <v>9281</v>
      </c>
      <c r="J153" s="224" t="s">
        <v>8854</v>
      </c>
      <c r="K153" s="235" t="s">
        <v>9282</v>
      </c>
      <c r="L153" s="222" t="s">
        <v>8557</v>
      </c>
      <c r="M153" s="6" t="s">
        <v>608</v>
      </c>
      <c r="N153" s="28" t="s">
        <v>608</v>
      </c>
      <c r="O153" s="28" t="s">
        <v>608</v>
      </c>
      <c r="P153" s="28" t="s">
        <v>94</v>
      </c>
      <c r="Q153" s="28" t="s">
        <v>608</v>
      </c>
    </row>
    <row r="154" customFormat="false" ht="101.25" hidden="false" customHeight="true" outlineLevel="0" collapsed="false">
      <c r="A154" s="224" t="s">
        <v>9283</v>
      </c>
      <c r="B154" s="224" t="s">
        <v>6062</v>
      </c>
      <c r="C154" s="233" t="s">
        <v>9284</v>
      </c>
      <c r="D154" s="224" t="s">
        <v>9285</v>
      </c>
      <c r="E154" s="234" t="s">
        <v>8849</v>
      </c>
      <c r="F154" s="224" t="s">
        <v>9286</v>
      </c>
      <c r="G154" s="224" t="s">
        <v>9287</v>
      </c>
      <c r="H154" s="224" t="s">
        <v>9288</v>
      </c>
      <c r="I154" s="234" t="s">
        <v>9289</v>
      </c>
      <c r="J154" s="224" t="s">
        <v>8854</v>
      </c>
      <c r="K154" s="235" t="s">
        <v>9290</v>
      </c>
      <c r="L154" s="222" t="s">
        <v>8557</v>
      </c>
      <c r="M154" s="6" t="s">
        <v>608</v>
      </c>
      <c r="N154" s="28" t="s">
        <v>608</v>
      </c>
      <c r="O154" s="28" t="s">
        <v>608</v>
      </c>
      <c r="P154" s="28" t="s">
        <v>98</v>
      </c>
      <c r="Q154" s="222" t="s">
        <v>6568</v>
      </c>
    </row>
    <row r="155" customFormat="false" ht="102.75" hidden="false" customHeight="true" outlineLevel="0" collapsed="false">
      <c r="A155" s="224" t="s">
        <v>9291</v>
      </c>
      <c r="B155" s="224" t="s">
        <v>6062</v>
      </c>
      <c r="C155" s="233" t="s">
        <v>9292</v>
      </c>
      <c r="D155" s="234" t="s">
        <v>9293</v>
      </c>
      <c r="E155" s="234" t="s">
        <v>9221</v>
      </c>
      <c r="F155" s="224" t="s">
        <v>9294</v>
      </c>
      <c r="G155" s="224" t="s">
        <v>9295</v>
      </c>
      <c r="H155" s="234" t="s">
        <v>9296</v>
      </c>
      <c r="I155" s="234" t="s">
        <v>9297</v>
      </c>
      <c r="J155" s="224" t="s">
        <v>8854</v>
      </c>
      <c r="K155" s="235" t="s">
        <v>9298</v>
      </c>
      <c r="L155" s="222" t="s">
        <v>8557</v>
      </c>
      <c r="M155" s="6" t="s">
        <v>608</v>
      </c>
      <c r="N155" s="28" t="s">
        <v>608</v>
      </c>
      <c r="O155" s="28" t="s">
        <v>608</v>
      </c>
      <c r="P155" s="28" t="s">
        <v>94</v>
      </c>
      <c r="Q155" s="222" t="s">
        <v>9299</v>
      </c>
    </row>
    <row r="156" customFormat="false" ht="90" hidden="false" customHeight="true" outlineLevel="0" collapsed="false">
      <c r="A156" s="224" t="s">
        <v>9300</v>
      </c>
      <c r="B156" s="224" t="s">
        <v>6062</v>
      </c>
      <c r="C156" s="233" t="s">
        <v>9301</v>
      </c>
      <c r="D156" s="224" t="s">
        <v>9302</v>
      </c>
      <c r="E156" s="234" t="s">
        <v>8849</v>
      </c>
      <c r="F156" s="224" t="s">
        <v>9303</v>
      </c>
      <c r="G156" s="224" t="s">
        <v>9304</v>
      </c>
      <c r="H156" s="234" t="s">
        <v>9305</v>
      </c>
      <c r="I156" s="234" t="s">
        <v>9306</v>
      </c>
      <c r="J156" s="224" t="s">
        <v>8854</v>
      </c>
      <c r="K156" s="235" t="s">
        <v>9307</v>
      </c>
      <c r="L156" s="222" t="s">
        <v>8557</v>
      </c>
      <c r="M156" s="6" t="s">
        <v>608</v>
      </c>
      <c r="N156" s="28" t="s">
        <v>608</v>
      </c>
      <c r="O156" s="28" t="s">
        <v>608</v>
      </c>
      <c r="P156" s="28" t="s">
        <v>98</v>
      </c>
      <c r="Q156" s="222" t="s">
        <v>6568</v>
      </c>
    </row>
    <row r="157" customFormat="false" ht="64.5" hidden="false" customHeight="true" outlineLevel="0" collapsed="false">
      <c r="A157" s="224" t="s">
        <v>9308</v>
      </c>
      <c r="B157" s="224" t="s">
        <v>6062</v>
      </c>
      <c r="C157" s="233" t="s">
        <v>9309</v>
      </c>
      <c r="D157" s="234" t="s">
        <v>9310</v>
      </c>
      <c r="E157" s="234" t="s">
        <v>9163</v>
      </c>
      <c r="F157" s="224" t="s">
        <v>9311</v>
      </c>
      <c r="G157" s="224" t="s">
        <v>9312</v>
      </c>
      <c r="H157" s="224" t="s">
        <v>9313</v>
      </c>
      <c r="I157" s="234" t="s">
        <v>9306</v>
      </c>
      <c r="J157" s="224" t="s">
        <v>8854</v>
      </c>
      <c r="K157" s="235" t="s">
        <v>9314</v>
      </c>
      <c r="L157" s="222" t="s">
        <v>8557</v>
      </c>
      <c r="M157" s="6" t="s">
        <v>608</v>
      </c>
      <c r="N157" s="28" t="s">
        <v>608</v>
      </c>
      <c r="O157" s="28" t="s">
        <v>608</v>
      </c>
      <c r="P157" s="28" t="s">
        <v>98</v>
      </c>
      <c r="Q157" s="222" t="s">
        <v>9315</v>
      </c>
    </row>
    <row r="158" customFormat="false" ht="125.25" hidden="false" customHeight="true" outlineLevel="0" collapsed="false">
      <c r="A158" s="224" t="s">
        <v>9316</v>
      </c>
      <c r="B158" s="224" t="s">
        <v>6062</v>
      </c>
      <c r="C158" s="233" t="s">
        <v>9317</v>
      </c>
      <c r="D158" s="224" t="s">
        <v>9318</v>
      </c>
      <c r="E158" s="234" t="s">
        <v>9221</v>
      </c>
      <c r="F158" s="224" t="s">
        <v>9319</v>
      </c>
      <c r="G158" s="224" t="s">
        <v>9320</v>
      </c>
      <c r="H158" s="234" t="s">
        <v>9321</v>
      </c>
      <c r="I158" s="234" t="s">
        <v>9322</v>
      </c>
      <c r="J158" s="224" t="s">
        <v>8854</v>
      </c>
      <c r="K158" s="235" t="s">
        <v>9323</v>
      </c>
      <c r="L158" s="222" t="s">
        <v>8557</v>
      </c>
      <c r="M158" s="6" t="s">
        <v>608</v>
      </c>
      <c r="N158" s="28" t="s">
        <v>608</v>
      </c>
      <c r="O158" s="28" t="s">
        <v>608</v>
      </c>
      <c r="P158" s="28" t="s">
        <v>94</v>
      </c>
      <c r="Q158" s="28" t="s">
        <v>608</v>
      </c>
    </row>
    <row r="159" customFormat="false" ht="141" hidden="false" customHeight="true" outlineLevel="0" collapsed="false">
      <c r="A159" s="224" t="s">
        <v>9324</v>
      </c>
      <c r="B159" s="224" t="s">
        <v>6062</v>
      </c>
      <c r="C159" s="233" t="s">
        <v>9325</v>
      </c>
      <c r="D159" s="224" t="s">
        <v>9326</v>
      </c>
      <c r="E159" s="234" t="s">
        <v>9327</v>
      </c>
      <c r="F159" s="224" t="s">
        <v>9328</v>
      </c>
      <c r="G159" s="224" t="s">
        <v>9329</v>
      </c>
      <c r="H159" s="224" t="s">
        <v>9330</v>
      </c>
      <c r="I159" s="234" t="s">
        <v>9331</v>
      </c>
      <c r="J159" s="224" t="s">
        <v>8854</v>
      </c>
      <c r="K159" s="235" t="s">
        <v>9332</v>
      </c>
      <c r="L159" s="222" t="s">
        <v>8557</v>
      </c>
      <c r="M159" s="6" t="s">
        <v>608</v>
      </c>
      <c r="N159" s="28" t="s">
        <v>608</v>
      </c>
      <c r="O159" s="222" t="s">
        <v>9333</v>
      </c>
      <c r="P159" s="28" t="s">
        <v>98</v>
      </c>
      <c r="Q159" s="222" t="s">
        <v>9334</v>
      </c>
    </row>
    <row r="160" customFormat="false" ht="51.75" hidden="false" customHeight="true" outlineLevel="0" collapsed="false">
      <c r="A160" s="224" t="s">
        <v>9335</v>
      </c>
      <c r="B160" s="224" t="s">
        <v>6062</v>
      </c>
      <c r="C160" s="233" t="s">
        <v>9336</v>
      </c>
      <c r="D160" s="224" t="s">
        <v>9337</v>
      </c>
      <c r="E160" s="234" t="s">
        <v>9338</v>
      </c>
      <c r="F160" s="224" t="s">
        <v>9339</v>
      </c>
      <c r="G160" s="224" t="s">
        <v>9340</v>
      </c>
      <c r="H160" s="224" t="s">
        <v>9341</v>
      </c>
      <c r="I160" s="234" t="s">
        <v>9342</v>
      </c>
      <c r="J160" s="224" t="s">
        <v>6098</v>
      </c>
      <c r="K160" s="235" t="s">
        <v>9343</v>
      </c>
      <c r="L160" s="222" t="s">
        <v>8557</v>
      </c>
      <c r="M160" s="6" t="s">
        <v>608</v>
      </c>
      <c r="N160" s="28" t="s">
        <v>608</v>
      </c>
      <c r="O160" s="28" t="s">
        <v>608</v>
      </c>
      <c r="P160" s="28" t="s">
        <v>98</v>
      </c>
      <c r="Q160" s="222" t="s">
        <v>6568</v>
      </c>
    </row>
    <row r="161" customFormat="false" ht="51.75" hidden="false" customHeight="true" outlineLevel="0" collapsed="false">
      <c r="A161" s="224" t="s">
        <v>9344</v>
      </c>
      <c r="B161" s="224" t="s">
        <v>6062</v>
      </c>
      <c r="C161" s="233" t="s">
        <v>9345</v>
      </c>
      <c r="D161" s="224" t="s">
        <v>9337</v>
      </c>
      <c r="E161" s="234" t="s">
        <v>9338</v>
      </c>
      <c r="F161" s="224" t="s">
        <v>9346</v>
      </c>
      <c r="G161" s="234" t="s">
        <v>9347</v>
      </c>
      <c r="H161" s="234" t="s">
        <v>9348</v>
      </c>
      <c r="I161" s="234" t="s">
        <v>9349</v>
      </c>
      <c r="J161" s="224" t="s">
        <v>6098</v>
      </c>
      <c r="K161" s="235" t="s">
        <v>9350</v>
      </c>
      <c r="L161" s="222" t="s">
        <v>8557</v>
      </c>
      <c r="M161" s="6" t="s">
        <v>608</v>
      </c>
      <c r="N161" s="28" t="s">
        <v>608</v>
      </c>
      <c r="O161" s="28" t="s">
        <v>608</v>
      </c>
      <c r="P161" s="28" t="s">
        <v>98</v>
      </c>
      <c r="Q161" s="222" t="s">
        <v>9351</v>
      </c>
    </row>
    <row r="162" customFormat="false" ht="39" hidden="false" customHeight="true" outlineLevel="0" collapsed="false">
      <c r="A162" s="224" t="s">
        <v>9352</v>
      </c>
      <c r="B162" s="224" t="s">
        <v>6062</v>
      </c>
      <c r="C162" s="235" t="s">
        <v>9353</v>
      </c>
      <c r="D162" s="224" t="s">
        <v>9337</v>
      </c>
      <c r="E162" s="234" t="s">
        <v>9338</v>
      </c>
      <c r="F162" s="224" t="s">
        <v>9354</v>
      </c>
      <c r="G162" s="234" t="s">
        <v>9355</v>
      </c>
      <c r="H162" s="234" t="s">
        <v>9356</v>
      </c>
      <c r="I162" s="234" t="s">
        <v>9357</v>
      </c>
      <c r="J162" s="224" t="s">
        <v>6098</v>
      </c>
      <c r="K162" s="235" t="s">
        <v>9358</v>
      </c>
      <c r="L162" s="222" t="s">
        <v>8557</v>
      </c>
      <c r="M162" s="6" t="s">
        <v>608</v>
      </c>
      <c r="N162" s="28" t="s">
        <v>608</v>
      </c>
      <c r="O162" s="28" t="s">
        <v>608</v>
      </c>
      <c r="P162" s="28" t="s">
        <v>98</v>
      </c>
      <c r="Q162" s="222" t="s">
        <v>6568</v>
      </c>
    </row>
    <row r="163" customFormat="false" ht="51.75" hidden="false" customHeight="true" outlineLevel="0" collapsed="false">
      <c r="A163" s="224" t="s">
        <v>9359</v>
      </c>
      <c r="B163" s="224" t="s">
        <v>6062</v>
      </c>
      <c r="C163" s="233" t="s">
        <v>9360</v>
      </c>
      <c r="D163" s="224" t="s">
        <v>9337</v>
      </c>
      <c r="E163" s="234" t="s">
        <v>9338</v>
      </c>
      <c r="F163" s="224" t="s">
        <v>9361</v>
      </c>
      <c r="G163" s="234" t="s">
        <v>9362</v>
      </c>
      <c r="H163" s="234" t="s">
        <v>9363</v>
      </c>
      <c r="I163" s="234" t="s">
        <v>9364</v>
      </c>
      <c r="J163" s="224" t="s">
        <v>6098</v>
      </c>
      <c r="K163" s="235" t="s">
        <v>9365</v>
      </c>
      <c r="L163" s="222" t="s">
        <v>8557</v>
      </c>
      <c r="M163" s="6" t="s">
        <v>608</v>
      </c>
      <c r="N163" s="28" t="s">
        <v>608</v>
      </c>
      <c r="O163" s="28" t="s">
        <v>608</v>
      </c>
      <c r="P163" s="28" t="s">
        <v>98</v>
      </c>
      <c r="Q163" s="222" t="s">
        <v>6568</v>
      </c>
    </row>
    <row r="164" customFormat="false" ht="51.75" hidden="false" customHeight="true" outlineLevel="0" collapsed="false">
      <c r="A164" s="224" t="s">
        <v>9366</v>
      </c>
      <c r="B164" s="224" t="s">
        <v>6062</v>
      </c>
      <c r="C164" s="233" t="s">
        <v>9367</v>
      </c>
      <c r="D164" s="224" t="s">
        <v>9337</v>
      </c>
      <c r="E164" s="234" t="s">
        <v>9338</v>
      </c>
      <c r="F164" s="224" t="s">
        <v>9368</v>
      </c>
      <c r="G164" s="234" t="s">
        <v>9369</v>
      </c>
      <c r="H164" s="234" t="s">
        <v>9370</v>
      </c>
      <c r="I164" s="234" t="s">
        <v>9371</v>
      </c>
      <c r="J164" s="224" t="s">
        <v>6098</v>
      </c>
      <c r="K164" s="235" t="s">
        <v>9372</v>
      </c>
      <c r="L164" s="222" t="s">
        <v>8557</v>
      </c>
      <c r="M164" s="6" t="s">
        <v>608</v>
      </c>
      <c r="N164" s="28" t="s">
        <v>608</v>
      </c>
      <c r="O164" s="28" t="s">
        <v>608</v>
      </c>
      <c r="P164" s="28" t="s">
        <v>98</v>
      </c>
      <c r="Q164" s="222" t="s">
        <v>6568</v>
      </c>
    </row>
    <row r="165" customFormat="false" ht="51.75" hidden="false" customHeight="true" outlineLevel="0" collapsed="false">
      <c r="A165" s="224" t="s">
        <v>9373</v>
      </c>
      <c r="B165" s="224" t="s">
        <v>6062</v>
      </c>
      <c r="C165" s="233" t="s">
        <v>9374</v>
      </c>
      <c r="D165" s="224" t="s">
        <v>9337</v>
      </c>
      <c r="E165" s="234" t="s">
        <v>9338</v>
      </c>
      <c r="F165" s="224" t="s">
        <v>9375</v>
      </c>
      <c r="G165" s="234" t="s">
        <v>9376</v>
      </c>
      <c r="H165" s="234" t="s">
        <v>9377</v>
      </c>
      <c r="I165" s="234" t="s">
        <v>9378</v>
      </c>
      <c r="J165" s="224" t="s">
        <v>6098</v>
      </c>
      <c r="K165" s="235" t="s">
        <v>9379</v>
      </c>
      <c r="L165" s="222" t="s">
        <v>8557</v>
      </c>
      <c r="M165" s="6" t="s">
        <v>608</v>
      </c>
      <c r="N165" s="28" t="s">
        <v>608</v>
      </c>
      <c r="O165" s="28" t="s">
        <v>9380</v>
      </c>
      <c r="P165" s="28" t="s">
        <v>98</v>
      </c>
      <c r="Q165" s="222" t="s">
        <v>6568</v>
      </c>
    </row>
    <row r="166" customFormat="false" ht="51.75" hidden="false" customHeight="true" outlineLevel="0" collapsed="false">
      <c r="A166" s="224" t="s">
        <v>9381</v>
      </c>
      <c r="B166" s="224" t="s">
        <v>6062</v>
      </c>
      <c r="C166" s="235" t="s">
        <v>9382</v>
      </c>
      <c r="D166" s="224" t="s">
        <v>9337</v>
      </c>
      <c r="E166" s="234" t="s">
        <v>9338</v>
      </c>
      <c r="F166" s="224" t="s">
        <v>9383</v>
      </c>
      <c r="G166" s="234" t="s">
        <v>9384</v>
      </c>
      <c r="H166" s="234" t="s">
        <v>9385</v>
      </c>
      <c r="I166" s="234" t="s">
        <v>9386</v>
      </c>
      <c r="J166" s="224" t="s">
        <v>6098</v>
      </c>
      <c r="K166" s="235" t="s">
        <v>9387</v>
      </c>
      <c r="L166" s="222" t="s">
        <v>8557</v>
      </c>
      <c r="M166" s="6" t="s">
        <v>608</v>
      </c>
      <c r="N166" s="28" t="s">
        <v>608</v>
      </c>
      <c r="O166" s="28" t="s">
        <v>608</v>
      </c>
      <c r="P166" s="28" t="s">
        <v>98</v>
      </c>
      <c r="Q166" s="222" t="s">
        <v>6568</v>
      </c>
    </row>
    <row r="167" customFormat="false" ht="51.75" hidden="false" customHeight="true" outlineLevel="0" collapsed="false">
      <c r="A167" s="224" t="s">
        <v>9388</v>
      </c>
      <c r="B167" s="224" t="s">
        <v>6062</v>
      </c>
      <c r="C167" s="235" t="s">
        <v>9389</v>
      </c>
      <c r="D167" s="224" t="s">
        <v>9337</v>
      </c>
      <c r="E167" s="234" t="s">
        <v>9338</v>
      </c>
      <c r="F167" s="224" t="s">
        <v>9390</v>
      </c>
      <c r="G167" s="224" t="s">
        <v>9391</v>
      </c>
      <c r="H167" s="234" t="s">
        <v>9392</v>
      </c>
      <c r="I167" s="234" t="s">
        <v>9393</v>
      </c>
      <c r="J167" s="224" t="s">
        <v>6098</v>
      </c>
      <c r="K167" s="235" t="s">
        <v>9394</v>
      </c>
      <c r="L167" s="222" t="s">
        <v>8557</v>
      </c>
      <c r="M167" s="6" t="s">
        <v>608</v>
      </c>
      <c r="N167" s="28" t="s">
        <v>608</v>
      </c>
      <c r="O167" s="28" t="s">
        <v>608</v>
      </c>
      <c r="P167" s="28" t="s">
        <v>98</v>
      </c>
      <c r="Q167" s="222" t="s">
        <v>6568</v>
      </c>
    </row>
    <row r="168" customFormat="false" ht="77.25" hidden="false" customHeight="true" outlineLevel="0" collapsed="false">
      <c r="A168" s="224" t="s">
        <v>9395</v>
      </c>
      <c r="B168" s="224" t="s">
        <v>6062</v>
      </c>
      <c r="C168" s="233" t="s">
        <v>9396</v>
      </c>
      <c r="D168" s="224" t="s">
        <v>9337</v>
      </c>
      <c r="E168" s="234" t="s">
        <v>9338</v>
      </c>
      <c r="F168" s="224" t="s">
        <v>9397</v>
      </c>
      <c r="G168" s="224" t="s">
        <v>9398</v>
      </c>
      <c r="H168" s="224" t="s">
        <v>9399</v>
      </c>
      <c r="I168" s="234" t="s">
        <v>9400</v>
      </c>
      <c r="J168" s="224" t="s">
        <v>6098</v>
      </c>
      <c r="K168" s="235" t="s">
        <v>9401</v>
      </c>
      <c r="L168" s="222" t="s">
        <v>8557</v>
      </c>
      <c r="M168" s="6" t="s">
        <v>608</v>
      </c>
      <c r="N168" s="28" t="s">
        <v>7469</v>
      </c>
      <c r="O168" s="28" t="s">
        <v>9402</v>
      </c>
      <c r="P168" s="28" t="s">
        <v>98</v>
      </c>
      <c r="Q168" s="222" t="s">
        <v>9403</v>
      </c>
    </row>
    <row r="169" customFormat="false" ht="115.5" hidden="false" customHeight="true" outlineLevel="0" collapsed="false">
      <c r="A169" s="224" t="s">
        <v>7469</v>
      </c>
      <c r="B169" s="224" t="s">
        <v>6062</v>
      </c>
      <c r="C169" s="233" t="s">
        <v>9404</v>
      </c>
      <c r="D169" s="224" t="s">
        <v>9405</v>
      </c>
      <c r="E169" s="234" t="s">
        <v>8849</v>
      </c>
      <c r="F169" s="224" t="s">
        <v>9397</v>
      </c>
      <c r="G169" s="224" t="s">
        <v>9406</v>
      </c>
      <c r="H169" s="224" t="s">
        <v>9407</v>
      </c>
      <c r="I169" s="224" t="s">
        <v>9408</v>
      </c>
      <c r="J169" s="224" t="s">
        <v>6119</v>
      </c>
      <c r="K169" s="235" t="s">
        <v>9409</v>
      </c>
      <c r="L169" s="222" t="s">
        <v>8557</v>
      </c>
      <c r="M169" s="6" t="s">
        <v>9410</v>
      </c>
      <c r="N169" s="28" t="s">
        <v>608</v>
      </c>
      <c r="O169" s="28" t="s">
        <v>9411</v>
      </c>
      <c r="P169" s="28" t="s">
        <v>8736</v>
      </c>
      <c r="Q169" s="222" t="s">
        <v>6461</v>
      </c>
    </row>
    <row r="170" customFormat="false" ht="115.5" hidden="false" customHeight="true" outlineLevel="0" collapsed="false">
      <c r="A170" s="224" t="s">
        <v>9412</v>
      </c>
      <c r="B170" s="224" t="s">
        <v>6062</v>
      </c>
      <c r="C170" s="235" t="s">
        <v>9413</v>
      </c>
      <c r="D170" s="234" t="s">
        <v>9414</v>
      </c>
      <c r="E170" s="234" t="s">
        <v>9338</v>
      </c>
      <c r="F170" s="224" t="s">
        <v>9415</v>
      </c>
      <c r="G170" s="224" t="s">
        <v>9416</v>
      </c>
      <c r="H170" s="234" t="s">
        <v>9417</v>
      </c>
      <c r="I170" s="224" t="s">
        <v>9418</v>
      </c>
      <c r="J170" s="224" t="s">
        <v>6126</v>
      </c>
      <c r="K170" s="235" t="s">
        <v>9419</v>
      </c>
      <c r="L170" s="222" t="s">
        <v>8557</v>
      </c>
      <c r="M170" s="6" t="s">
        <v>608</v>
      </c>
      <c r="N170" s="28" t="s">
        <v>608</v>
      </c>
      <c r="O170" s="28" t="s">
        <v>9420</v>
      </c>
      <c r="P170" s="28" t="s">
        <v>98</v>
      </c>
      <c r="Q170" s="222" t="s">
        <v>9421</v>
      </c>
    </row>
    <row r="171" customFormat="false" ht="153.75" hidden="false" customHeight="true" outlineLevel="0" collapsed="false">
      <c r="A171" s="224" t="s">
        <v>7910</v>
      </c>
      <c r="B171" s="224" t="s">
        <v>6148</v>
      </c>
      <c r="C171" s="233" t="s">
        <v>9422</v>
      </c>
      <c r="D171" s="224" t="s">
        <v>9423</v>
      </c>
      <c r="E171" s="236" t="s">
        <v>8849</v>
      </c>
      <c r="F171" s="224" t="s">
        <v>9424</v>
      </c>
      <c r="G171" s="224" t="s">
        <v>9425</v>
      </c>
      <c r="H171" s="236" t="s">
        <v>9426</v>
      </c>
      <c r="I171" s="236" t="s">
        <v>9427</v>
      </c>
      <c r="J171" s="224" t="s">
        <v>6154</v>
      </c>
      <c r="K171" s="237" t="s">
        <v>9428</v>
      </c>
      <c r="L171" s="196" t="s">
        <v>8557</v>
      </c>
      <c r="M171" s="6" t="s">
        <v>9429</v>
      </c>
      <c r="N171" s="28" t="s">
        <v>608</v>
      </c>
      <c r="O171" s="28" t="s">
        <v>9430</v>
      </c>
      <c r="P171" s="28" t="s">
        <v>8736</v>
      </c>
      <c r="Q171" s="196" t="s">
        <v>6461</v>
      </c>
    </row>
    <row r="172" customFormat="false" ht="264" hidden="false" customHeight="true" outlineLevel="0" collapsed="false">
      <c r="A172" s="224" t="s">
        <v>7178</v>
      </c>
      <c r="B172" s="224" t="s">
        <v>6148</v>
      </c>
      <c r="C172" s="233" t="s">
        <v>9431</v>
      </c>
      <c r="D172" s="224" t="s">
        <v>9432</v>
      </c>
      <c r="E172" s="236" t="s">
        <v>8849</v>
      </c>
      <c r="F172" s="224" t="s">
        <v>9433</v>
      </c>
      <c r="G172" s="224" t="s">
        <v>9434</v>
      </c>
      <c r="H172" s="224" t="s">
        <v>9435</v>
      </c>
      <c r="I172" s="236" t="s">
        <v>9436</v>
      </c>
      <c r="J172" s="224" t="s">
        <v>6154</v>
      </c>
      <c r="K172" s="237" t="s">
        <v>9437</v>
      </c>
      <c r="L172" s="196" t="s">
        <v>8557</v>
      </c>
      <c r="M172" s="6" t="s">
        <v>2900</v>
      </c>
      <c r="N172" s="28" t="s">
        <v>608</v>
      </c>
      <c r="O172" s="28" t="s">
        <v>9438</v>
      </c>
      <c r="P172" s="28" t="s">
        <v>8736</v>
      </c>
      <c r="Q172" s="196" t="s">
        <v>6568</v>
      </c>
    </row>
    <row r="173" customFormat="false" ht="80.25" hidden="false" customHeight="true" outlineLevel="0" collapsed="false">
      <c r="A173" s="224" t="s">
        <v>9439</v>
      </c>
      <c r="B173" s="224" t="s">
        <v>6148</v>
      </c>
      <c r="C173" s="233" t="s">
        <v>9440</v>
      </c>
      <c r="D173" s="224" t="s">
        <v>9441</v>
      </c>
      <c r="E173" s="236" t="s">
        <v>8849</v>
      </c>
      <c r="F173" s="224" t="s">
        <v>9442</v>
      </c>
      <c r="G173" s="224" t="s">
        <v>9443</v>
      </c>
      <c r="H173" s="224" t="s">
        <v>9444</v>
      </c>
      <c r="I173" s="236" t="s">
        <v>9445</v>
      </c>
      <c r="J173" s="224" t="s">
        <v>6154</v>
      </c>
      <c r="K173" s="237" t="s">
        <v>9446</v>
      </c>
      <c r="L173" s="196" t="s">
        <v>8557</v>
      </c>
      <c r="M173" s="6" t="s">
        <v>5312</v>
      </c>
      <c r="N173" s="28" t="s">
        <v>608</v>
      </c>
      <c r="O173" s="196" t="s">
        <v>9447</v>
      </c>
      <c r="P173" s="28" t="s">
        <v>8736</v>
      </c>
      <c r="Q173" s="196" t="s">
        <v>6568</v>
      </c>
    </row>
    <row r="174" customFormat="false" ht="29.25" hidden="false" customHeight="true" outlineLevel="0" collapsed="false">
      <c r="A174" s="224" t="s">
        <v>9448</v>
      </c>
      <c r="B174" s="224" t="s">
        <v>6148</v>
      </c>
      <c r="C174" s="237" t="s">
        <v>9449</v>
      </c>
      <c r="D174" s="224" t="s">
        <v>9450</v>
      </c>
      <c r="E174" s="236" t="s">
        <v>9338</v>
      </c>
      <c r="F174" s="224" t="s">
        <v>9451</v>
      </c>
      <c r="G174" s="224" t="s">
        <v>9452</v>
      </c>
      <c r="H174" s="236" t="s">
        <v>9453</v>
      </c>
      <c r="I174" s="236" t="s">
        <v>9454</v>
      </c>
      <c r="J174" s="224" t="s">
        <v>6154</v>
      </c>
      <c r="K174" s="237" t="s">
        <v>9455</v>
      </c>
      <c r="L174" s="196" t="s">
        <v>8557</v>
      </c>
      <c r="M174" s="6" t="s">
        <v>608</v>
      </c>
      <c r="N174" s="28" t="s">
        <v>608</v>
      </c>
      <c r="O174" s="196" t="s">
        <v>3838</v>
      </c>
      <c r="P174" s="28" t="s">
        <v>8687</v>
      </c>
      <c r="Q174" s="196" t="s">
        <v>9456</v>
      </c>
    </row>
    <row r="175" customFormat="false" ht="100.5" hidden="false" customHeight="true" outlineLevel="0" collapsed="false">
      <c r="A175" s="224" t="s">
        <v>9457</v>
      </c>
      <c r="B175" s="224" t="s">
        <v>3338</v>
      </c>
      <c r="C175" s="233" t="s">
        <v>9458</v>
      </c>
      <c r="D175" s="224" t="s">
        <v>9432</v>
      </c>
      <c r="E175" s="236" t="s">
        <v>8849</v>
      </c>
      <c r="F175" s="224" t="s">
        <v>9459</v>
      </c>
      <c r="G175" s="224" t="s">
        <v>9460</v>
      </c>
      <c r="H175" s="236" t="s">
        <v>9461</v>
      </c>
      <c r="I175" s="236" t="s">
        <v>9462</v>
      </c>
      <c r="J175" s="224" t="s">
        <v>6167</v>
      </c>
      <c r="K175" s="237" t="s">
        <v>9463</v>
      </c>
      <c r="L175" s="196" t="s">
        <v>8557</v>
      </c>
      <c r="M175" s="6" t="s">
        <v>2900</v>
      </c>
      <c r="N175" s="28" t="s">
        <v>608</v>
      </c>
      <c r="O175" s="28" t="s">
        <v>9438</v>
      </c>
      <c r="P175" s="28" t="s">
        <v>8736</v>
      </c>
      <c r="Q175" s="196" t="s">
        <v>6568</v>
      </c>
    </row>
    <row r="176" customFormat="false" ht="137.25" hidden="false" customHeight="true" outlineLevel="0" collapsed="false">
      <c r="A176" s="224" t="s">
        <v>9464</v>
      </c>
      <c r="B176" s="224" t="s">
        <v>3338</v>
      </c>
      <c r="C176" s="233" t="s">
        <v>9465</v>
      </c>
      <c r="D176" s="224" t="s">
        <v>9466</v>
      </c>
      <c r="E176" s="236" t="s">
        <v>8849</v>
      </c>
      <c r="F176" s="224" t="s">
        <v>9467</v>
      </c>
      <c r="G176" s="224" t="s">
        <v>9468</v>
      </c>
      <c r="H176" s="236" t="s">
        <v>9469</v>
      </c>
      <c r="I176" s="236" t="s">
        <v>9470</v>
      </c>
      <c r="J176" s="224" t="s">
        <v>6167</v>
      </c>
      <c r="K176" s="237" t="s">
        <v>9471</v>
      </c>
      <c r="L176" s="196" t="s">
        <v>8557</v>
      </c>
      <c r="M176" s="6" t="s">
        <v>5312</v>
      </c>
      <c r="N176" s="28" t="s">
        <v>608</v>
      </c>
      <c r="O176" s="196" t="s">
        <v>9447</v>
      </c>
      <c r="P176" s="28" t="s">
        <v>8736</v>
      </c>
      <c r="Q176" s="196" t="s">
        <v>6568</v>
      </c>
    </row>
    <row r="177" customFormat="false" ht="242.25" hidden="false" customHeight="true" outlineLevel="0" collapsed="false">
      <c r="A177" s="224" t="s">
        <v>7188</v>
      </c>
      <c r="B177" s="224" t="s">
        <v>3338</v>
      </c>
      <c r="C177" s="233" t="s">
        <v>9472</v>
      </c>
      <c r="D177" s="224" t="s">
        <v>9473</v>
      </c>
      <c r="E177" s="236" t="s">
        <v>8849</v>
      </c>
      <c r="F177" s="224" t="s">
        <v>9474</v>
      </c>
      <c r="G177" s="224" t="s">
        <v>9475</v>
      </c>
      <c r="H177" s="224" t="s">
        <v>9476</v>
      </c>
      <c r="I177" s="236" t="s">
        <v>9477</v>
      </c>
      <c r="J177" s="224" t="s">
        <v>6167</v>
      </c>
      <c r="K177" s="237" t="s">
        <v>9478</v>
      </c>
      <c r="L177" s="196" t="s">
        <v>8557</v>
      </c>
      <c r="M177" s="6" t="s">
        <v>9479</v>
      </c>
      <c r="N177" s="28" t="s">
        <v>608</v>
      </c>
      <c r="O177" s="196" t="s">
        <v>9480</v>
      </c>
      <c r="P177" s="28" t="s">
        <v>8736</v>
      </c>
      <c r="Q177" s="196" t="s">
        <v>6461</v>
      </c>
    </row>
    <row r="178" customFormat="false" ht="156.75" hidden="false" customHeight="true" outlineLevel="0" collapsed="false">
      <c r="A178" s="224" t="s">
        <v>9481</v>
      </c>
      <c r="B178" s="224" t="s">
        <v>3338</v>
      </c>
      <c r="C178" s="237" t="s">
        <v>9482</v>
      </c>
      <c r="D178" s="224" t="s">
        <v>9483</v>
      </c>
      <c r="E178" s="224" t="s">
        <v>9484</v>
      </c>
      <c r="F178" s="224" t="s">
        <v>9485</v>
      </c>
      <c r="G178" s="224" t="s">
        <v>9486</v>
      </c>
      <c r="H178" s="236" t="s">
        <v>9487</v>
      </c>
      <c r="I178" s="236" t="s">
        <v>9488</v>
      </c>
      <c r="J178" s="224" t="s">
        <v>6167</v>
      </c>
      <c r="K178" s="237" t="s">
        <v>9489</v>
      </c>
      <c r="L178" s="196" t="s">
        <v>8557</v>
      </c>
      <c r="M178" s="6" t="s">
        <v>9490</v>
      </c>
      <c r="N178" s="28" t="s">
        <v>608</v>
      </c>
      <c r="O178" s="28" t="s">
        <v>9491</v>
      </c>
      <c r="P178" s="28" t="s">
        <v>608</v>
      </c>
      <c r="Q178" s="28" t="s">
        <v>608</v>
      </c>
    </row>
    <row r="179" customFormat="false" ht="57.75" hidden="false" customHeight="true" outlineLevel="0" collapsed="false">
      <c r="A179" s="224" t="s">
        <v>9492</v>
      </c>
      <c r="B179" s="224" t="s">
        <v>3338</v>
      </c>
      <c r="C179" s="233" t="s">
        <v>9493</v>
      </c>
      <c r="D179" s="224" t="s">
        <v>9494</v>
      </c>
      <c r="E179" s="236" t="s">
        <v>9338</v>
      </c>
      <c r="F179" s="224" t="s">
        <v>9495</v>
      </c>
      <c r="G179" s="224" t="s">
        <v>9496</v>
      </c>
      <c r="H179" s="236" t="s">
        <v>9497</v>
      </c>
      <c r="I179" s="236" t="s">
        <v>9498</v>
      </c>
      <c r="J179" s="224" t="s">
        <v>6167</v>
      </c>
      <c r="K179" s="237" t="s">
        <v>9499</v>
      </c>
      <c r="L179" s="196" t="s">
        <v>8557</v>
      </c>
      <c r="M179" s="6" t="s">
        <v>608</v>
      </c>
      <c r="N179" s="28" t="s">
        <v>608</v>
      </c>
      <c r="O179" s="196" t="s">
        <v>3838</v>
      </c>
      <c r="P179" s="28" t="s">
        <v>8687</v>
      </c>
      <c r="Q179" s="196" t="s">
        <v>9500</v>
      </c>
    </row>
    <row r="180" customFormat="false" ht="86.25" hidden="false" customHeight="true" outlineLevel="0" collapsed="false">
      <c r="A180" s="224" t="s">
        <v>9501</v>
      </c>
      <c r="B180" s="224" t="s">
        <v>3338</v>
      </c>
      <c r="C180" s="233" t="s">
        <v>9502</v>
      </c>
      <c r="D180" s="224" t="s">
        <v>9503</v>
      </c>
      <c r="E180" s="224" t="s">
        <v>9504</v>
      </c>
      <c r="F180" s="224" t="s">
        <v>9505</v>
      </c>
      <c r="G180" s="224" t="s">
        <v>9506</v>
      </c>
      <c r="H180" s="224" t="s">
        <v>9507</v>
      </c>
      <c r="I180" s="236" t="s">
        <v>9508</v>
      </c>
      <c r="J180" s="224" t="s">
        <v>6174</v>
      </c>
      <c r="K180" s="237" t="s">
        <v>9509</v>
      </c>
      <c r="L180" s="196" t="s">
        <v>8557</v>
      </c>
      <c r="M180" s="6" t="s">
        <v>2993</v>
      </c>
      <c r="N180" s="28" t="s">
        <v>608</v>
      </c>
      <c r="O180" s="196" t="s">
        <v>9510</v>
      </c>
      <c r="P180" s="28" t="s">
        <v>8711</v>
      </c>
      <c r="Q180" s="196" t="s">
        <v>6461</v>
      </c>
    </row>
    <row r="181" customFormat="false" ht="57.75" hidden="false" customHeight="true" outlineLevel="0" collapsed="false">
      <c r="A181" s="224" t="s">
        <v>9511</v>
      </c>
      <c r="B181" s="224" t="s">
        <v>3338</v>
      </c>
      <c r="C181" s="233" t="s">
        <v>9512</v>
      </c>
      <c r="D181" s="224" t="s">
        <v>9513</v>
      </c>
      <c r="E181" s="224" t="s">
        <v>9514</v>
      </c>
      <c r="F181" s="224" t="s">
        <v>9515</v>
      </c>
      <c r="G181" s="224" t="s">
        <v>9516</v>
      </c>
      <c r="H181" s="224" t="s">
        <v>9517</v>
      </c>
      <c r="I181" s="236" t="s">
        <v>9508</v>
      </c>
      <c r="J181" s="224" t="s">
        <v>6174</v>
      </c>
      <c r="K181" s="233" t="s">
        <v>9518</v>
      </c>
      <c r="L181" s="196" t="s">
        <v>8557</v>
      </c>
      <c r="M181" s="6" t="s">
        <v>5436</v>
      </c>
      <c r="N181" s="28" t="s">
        <v>608</v>
      </c>
      <c r="O181" s="196" t="s">
        <v>9510</v>
      </c>
      <c r="P181" s="28" t="s">
        <v>8736</v>
      </c>
      <c r="Q181" s="196" t="s">
        <v>6461</v>
      </c>
    </row>
    <row r="182" customFormat="false" ht="72" hidden="false" customHeight="true" outlineLevel="0" collapsed="false">
      <c r="A182" s="224" t="s">
        <v>9519</v>
      </c>
      <c r="B182" s="224" t="s">
        <v>3338</v>
      </c>
      <c r="C182" s="237" t="s">
        <v>9520</v>
      </c>
      <c r="D182" s="224" t="s">
        <v>9521</v>
      </c>
      <c r="E182" s="224" t="s">
        <v>9522</v>
      </c>
      <c r="F182" s="224" t="s">
        <v>9523</v>
      </c>
      <c r="G182" s="224" t="s">
        <v>608</v>
      </c>
      <c r="H182" s="224" t="s">
        <v>608</v>
      </c>
      <c r="I182" s="236" t="s">
        <v>9508</v>
      </c>
      <c r="J182" s="224" t="s">
        <v>6174</v>
      </c>
      <c r="K182" s="237" t="s">
        <v>9524</v>
      </c>
      <c r="L182" s="196" t="s">
        <v>8557</v>
      </c>
      <c r="M182" s="6" t="s">
        <v>2993</v>
      </c>
      <c r="N182" s="28" t="s">
        <v>608</v>
      </c>
      <c r="O182" s="196" t="s">
        <v>9510</v>
      </c>
      <c r="P182" s="28" t="s">
        <v>8711</v>
      </c>
      <c r="Q182" s="196" t="s">
        <v>9525</v>
      </c>
    </row>
    <row r="183" customFormat="false" ht="171" hidden="false" customHeight="true" outlineLevel="0" collapsed="false">
      <c r="A183" s="224" t="s">
        <v>7931</v>
      </c>
      <c r="B183" s="224" t="s">
        <v>3338</v>
      </c>
      <c r="C183" s="233" t="s">
        <v>9526</v>
      </c>
      <c r="D183" s="224" t="s">
        <v>9527</v>
      </c>
      <c r="E183" s="224" t="s">
        <v>9528</v>
      </c>
      <c r="F183" s="224" t="s">
        <v>9529</v>
      </c>
      <c r="G183" s="224" t="s">
        <v>9530</v>
      </c>
      <c r="H183" s="224" t="s">
        <v>9531</v>
      </c>
      <c r="I183" s="236" t="s">
        <v>9532</v>
      </c>
      <c r="J183" s="224" t="s">
        <v>6174</v>
      </c>
      <c r="K183" s="237" t="s">
        <v>9533</v>
      </c>
      <c r="L183" s="196" t="s">
        <v>8557</v>
      </c>
      <c r="M183" s="6" t="s">
        <v>9534</v>
      </c>
      <c r="N183" s="28" t="s">
        <v>7925</v>
      </c>
      <c r="O183" s="28" t="s">
        <v>9535</v>
      </c>
      <c r="P183" s="28" t="s">
        <v>8711</v>
      </c>
      <c r="Q183" s="196" t="s">
        <v>6461</v>
      </c>
    </row>
    <row r="184" customFormat="false" ht="57.75" hidden="false" customHeight="true" outlineLevel="0" collapsed="false">
      <c r="A184" s="224" t="s">
        <v>9536</v>
      </c>
      <c r="B184" s="224" t="s">
        <v>3338</v>
      </c>
      <c r="C184" s="233" t="s">
        <v>9537</v>
      </c>
      <c r="D184" s="224" t="s">
        <v>9538</v>
      </c>
      <c r="E184" s="224" t="s">
        <v>608</v>
      </c>
      <c r="F184" s="224" t="s">
        <v>9539</v>
      </c>
      <c r="G184" s="224" t="s">
        <v>9540</v>
      </c>
      <c r="H184" s="236" t="s">
        <v>9215</v>
      </c>
      <c r="I184" s="236" t="s">
        <v>9541</v>
      </c>
      <c r="J184" s="224" t="s">
        <v>6174</v>
      </c>
      <c r="K184" s="237" t="s">
        <v>9542</v>
      </c>
      <c r="L184" s="196" t="s">
        <v>8557</v>
      </c>
      <c r="M184" s="6" t="s">
        <v>9543</v>
      </c>
      <c r="N184" s="28" t="s">
        <v>608</v>
      </c>
      <c r="O184" s="196" t="s">
        <v>3838</v>
      </c>
      <c r="P184" s="28" t="s">
        <v>608</v>
      </c>
      <c r="Q184" s="28" t="s">
        <v>608</v>
      </c>
    </row>
    <row r="185" customFormat="false" ht="129" hidden="false" customHeight="true" outlineLevel="0" collapsed="false">
      <c r="A185" s="224" t="s">
        <v>9544</v>
      </c>
      <c r="B185" s="224" t="s">
        <v>3338</v>
      </c>
      <c r="C185" s="237" t="s">
        <v>9545</v>
      </c>
      <c r="D185" s="224" t="s">
        <v>9546</v>
      </c>
      <c r="E185" s="224" t="s">
        <v>9547</v>
      </c>
      <c r="F185" s="224" t="s">
        <v>9548</v>
      </c>
      <c r="G185" s="224" t="s">
        <v>9549</v>
      </c>
      <c r="H185" s="236" t="s">
        <v>9550</v>
      </c>
      <c r="I185" s="236" t="s">
        <v>9551</v>
      </c>
      <c r="J185" s="224" t="s">
        <v>6174</v>
      </c>
      <c r="K185" s="233" t="s">
        <v>9552</v>
      </c>
      <c r="L185" s="196" t="s">
        <v>8557</v>
      </c>
      <c r="M185" s="6" t="s">
        <v>9553</v>
      </c>
      <c r="N185" s="28" t="s">
        <v>608</v>
      </c>
      <c r="O185" s="28" t="s">
        <v>9554</v>
      </c>
      <c r="P185" s="28" t="s">
        <v>8736</v>
      </c>
      <c r="Q185" s="196" t="s">
        <v>6461</v>
      </c>
    </row>
    <row r="186" customFormat="false" ht="100.5" hidden="false" customHeight="true" outlineLevel="0" collapsed="false">
      <c r="A186" s="224" t="s">
        <v>9555</v>
      </c>
      <c r="B186" s="224" t="s">
        <v>3338</v>
      </c>
      <c r="C186" s="233" t="s">
        <v>9556</v>
      </c>
      <c r="D186" s="224" t="s">
        <v>9557</v>
      </c>
      <c r="E186" s="224" t="s">
        <v>9558</v>
      </c>
      <c r="F186" s="224" t="s">
        <v>9559</v>
      </c>
      <c r="G186" s="236" t="s">
        <v>9560</v>
      </c>
      <c r="H186" s="224" t="s">
        <v>608</v>
      </c>
      <c r="I186" s="236" t="s">
        <v>9561</v>
      </c>
      <c r="J186" s="224" t="s">
        <v>6174</v>
      </c>
      <c r="K186" s="237" t="s">
        <v>9562</v>
      </c>
      <c r="L186" s="196" t="s">
        <v>8557</v>
      </c>
      <c r="M186" s="6" t="s">
        <v>608</v>
      </c>
      <c r="N186" s="28" t="s">
        <v>608</v>
      </c>
      <c r="O186" s="28" t="s">
        <v>9563</v>
      </c>
      <c r="P186" s="28" t="s">
        <v>608</v>
      </c>
      <c r="Q186" s="28" t="s">
        <v>608</v>
      </c>
    </row>
    <row r="187" customFormat="false" ht="57.75" hidden="false" customHeight="true" outlineLevel="0" collapsed="false">
      <c r="A187" s="224" t="s">
        <v>9564</v>
      </c>
      <c r="B187" s="224" t="s">
        <v>3338</v>
      </c>
      <c r="C187" s="233" t="s">
        <v>9565</v>
      </c>
      <c r="D187" s="224" t="s">
        <v>9566</v>
      </c>
      <c r="E187" s="224" t="s">
        <v>9567</v>
      </c>
      <c r="F187" s="224" t="s">
        <v>9568</v>
      </c>
      <c r="G187" s="224" t="s">
        <v>9569</v>
      </c>
      <c r="H187" s="236" t="s">
        <v>9570</v>
      </c>
      <c r="I187" s="236" t="s">
        <v>9571</v>
      </c>
      <c r="J187" s="224" t="s">
        <v>6251</v>
      </c>
      <c r="K187" s="237" t="s">
        <v>9572</v>
      </c>
      <c r="L187" s="196" t="s">
        <v>8557</v>
      </c>
      <c r="M187" s="6" t="s">
        <v>4102</v>
      </c>
      <c r="N187" s="28" t="s">
        <v>608</v>
      </c>
      <c r="O187" s="28" t="s">
        <v>9573</v>
      </c>
      <c r="P187" s="28" t="s">
        <v>8711</v>
      </c>
      <c r="Q187" s="196" t="s">
        <v>6461</v>
      </c>
    </row>
    <row r="188" customFormat="false" ht="72" hidden="false" customHeight="true" outlineLevel="0" collapsed="false">
      <c r="A188" s="224" t="s">
        <v>6810</v>
      </c>
      <c r="B188" s="224" t="s">
        <v>3338</v>
      </c>
      <c r="C188" s="233" t="s">
        <v>9574</v>
      </c>
      <c r="D188" s="224" t="s">
        <v>9575</v>
      </c>
      <c r="E188" s="224" t="s">
        <v>9567</v>
      </c>
      <c r="F188" s="224" t="s">
        <v>9576</v>
      </c>
      <c r="G188" s="224" t="s">
        <v>9577</v>
      </c>
      <c r="H188" s="224" t="s">
        <v>9578</v>
      </c>
      <c r="I188" s="236" t="s">
        <v>9579</v>
      </c>
      <c r="J188" s="224" t="s">
        <v>6251</v>
      </c>
      <c r="K188" s="237" t="s">
        <v>9580</v>
      </c>
      <c r="L188" s="196" t="s">
        <v>8557</v>
      </c>
      <c r="M188" s="6" t="s">
        <v>6804</v>
      </c>
      <c r="N188" s="28" t="s">
        <v>608</v>
      </c>
      <c r="O188" s="28" t="s">
        <v>9573</v>
      </c>
      <c r="P188" s="28" t="s">
        <v>8711</v>
      </c>
      <c r="Q188" s="196" t="s">
        <v>6461</v>
      </c>
    </row>
    <row r="189" customFormat="false" ht="72" hidden="false" customHeight="true" outlineLevel="0" collapsed="false">
      <c r="A189" s="224" t="s">
        <v>9581</v>
      </c>
      <c r="B189" s="224" t="s">
        <v>3338</v>
      </c>
      <c r="C189" s="233" t="s">
        <v>9582</v>
      </c>
      <c r="D189" s="224" t="s">
        <v>9583</v>
      </c>
      <c r="E189" s="224" t="s">
        <v>9584</v>
      </c>
      <c r="F189" s="224" t="s">
        <v>9585</v>
      </c>
      <c r="G189" s="224" t="s">
        <v>9586</v>
      </c>
      <c r="H189" s="224" t="s">
        <v>9587</v>
      </c>
      <c r="I189" s="236" t="s">
        <v>9588</v>
      </c>
      <c r="J189" s="224" t="s">
        <v>6251</v>
      </c>
      <c r="K189" s="237" t="s">
        <v>9589</v>
      </c>
      <c r="L189" s="196" t="s">
        <v>8557</v>
      </c>
      <c r="M189" s="6" t="s">
        <v>9590</v>
      </c>
      <c r="N189" s="28" t="s">
        <v>608</v>
      </c>
      <c r="O189" s="28" t="s">
        <v>9573</v>
      </c>
      <c r="P189" s="28" t="s">
        <v>8711</v>
      </c>
      <c r="Q189" s="196" t="s">
        <v>6568</v>
      </c>
    </row>
    <row r="190" customFormat="false" ht="72" hidden="false" customHeight="true" outlineLevel="0" collapsed="false">
      <c r="A190" s="224" t="s">
        <v>6900</v>
      </c>
      <c r="B190" s="224" t="s">
        <v>3338</v>
      </c>
      <c r="C190" s="233" t="s">
        <v>9591</v>
      </c>
      <c r="D190" s="224" t="s">
        <v>9592</v>
      </c>
      <c r="E190" s="224" t="s">
        <v>9593</v>
      </c>
      <c r="F190" s="224" t="s">
        <v>9594</v>
      </c>
      <c r="G190" s="224" t="s">
        <v>608</v>
      </c>
      <c r="H190" s="224" t="s">
        <v>9595</v>
      </c>
      <c r="I190" s="236" t="s">
        <v>9596</v>
      </c>
      <c r="J190" s="224" t="s">
        <v>6251</v>
      </c>
      <c r="K190" s="233" t="s">
        <v>9597</v>
      </c>
      <c r="L190" s="196" t="s">
        <v>8557</v>
      </c>
      <c r="M190" s="6" t="s">
        <v>3162</v>
      </c>
      <c r="N190" s="28" t="s">
        <v>608</v>
      </c>
      <c r="O190" s="28" t="s">
        <v>9598</v>
      </c>
      <c r="P190" s="28" t="s">
        <v>8736</v>
      </c>
      <c r="Q190" s="196" t="s">
        <v>6461</v>
      </c>
    </row>
    <row r="191" customFormat="false" ht="72" hidden="false" customHeight="true" outlineLevel="0" collapsed="false">
      <c r="A191" s="224" t="s">
        <v>9599</v>
      </c>
      <c r="B191" s="224" t="s">
        <v>3338</v>
      </c>
      <c r="C191" s="233" t="s">
        <v>9600</v>
      </c>
      <c r="D191" s="224" t="s">
        <v>9601</v>
      </c>
      <c r="E191" s="224" t="s">
        <v>9602</v>
      </c>
      <c r="F191" s="224" t="s">
        <v>9603</v>
      </c>
      <c r="G191" s="224" t="s">
        <v>9604</v>
      </c>
      <c r="H191" s="224" t="s">
        <v>9605</v>
      </c>
      <c r="I191" s="236" t="s">
        <v>9606</v>
      </c>
      <c r="J191" s="224" t="s">
        <v>6251</v>
      </c>
      <c r="K191" s="237" t="s">
        <v>9607</v>
      </c>
      <c r="L191" s="196" t="s">
        <v>8557</v>
      </c>
      <c r="M191" s="6" t="s">
        <v>4105</v>
      </c>
      <c r="N191" s="28" t="s">
        <v>608</v>
      </c>
      <c r="O191" s="28" t="s">
        <v>9608</v>
      </c>
      <c r="P191" s="28" t="s">
        <v>8711</v>
      </c>
      <c r="Q191" s="196" t="s">
        <v>6568</v>
      </c>
    </row>
    <row r="192" customFormat="false" ht="57.75" hidden="false" customHeight="true" outlineLevel="0" collapsed="false">
      <c r="A192" s="224" t="s">
        <v>6821</v>
      </c>
      <c r="B192" s="224" t="s">
        <v>3338</v>
      </c>
      <c r="C192" s="233" t="s">
        <v>9609</v>
      </c>
      <c r="D192" s="224" t="s">
        <v>9610</v>
      </c>
      <c r="E192" s="224" t="s">
        <v>9611</v>
      </c>
      <c r="F192" s="224" t="s">
        <v>9612</v>
      </c>
      <c r="G192" s="224" t="s">
        <v>9613</v>
      </c>
      <c r="H192" s="236" t="s">
        <v>9614</v>
      </c>
      <c r="I192" s="236" t="s">
        <v>9615</v>
      </c>
      <c r="J192" s="224" t="s">
        <v>6251</v>
      </c>
      <c r="K192" s="237" t="s">
        <v>9616</v>
      </c>
      <c r="L192" s="196" t="s">
        <v>8557</v>
      </c>
      <c r="M192" s="6" t="s">
        <v>6814</v>
      </c>
      <c r="N192" s="28" t="s">
        <v>608</v>
      </c>
      <c r="O192" s="28" t="s">
        <v>608</v>
      </c>
      <c r="P192" s="28" t="s">
        <v>8736</v>
      </c>
      <c r="Q192" s="196" t="s">
        <v>6568</v>
      </c>
    </row>
    <row r="193" customFormat="false" ht="57.75" hidden="false" customHeight="true" outlineLevel="0" collapsed="false">
      <c r="A193" s="224" t="s">
        <v>9617</v>
      </c>
      <c r="B193" s="224" t="s">
        <v>3338</v>
      </c>
      <c r="C193" s="233" t="s">
        <v>9618</v>
      </c>
      <c r="D193" s="224" t="s">
        <v>9619</v>
      </c>
      <c r="E193" s="224" t="s">
        <v>9620</v>
      </c>
      <c r="F193" s="224" t="s">
        <v>9621</v>
      </c>
      <c r="G193" s="224" t="s">
        <v>9622</v>
      </c>
      <c r="H193" s="224" t="s">
        <v>9623</v>
      </c>
      <c r="I193" s="236" t="s">
        <v>9624</v>
      </c>
      <c r="J193" s="224" t="s">
        <v>6251</v>
      </c>
      <c r="K193" s="237" t="s">
        <v>9625</v>
      </c>
      <c r="L193" s="196" t="s">
        <v>8557</v>
      </c>
      <c r="M193" s="6" t="s">
        <v>6508</v>
      </c>
      <c r="N193" s="28" t="s">
        <v>608</v>
      </c>
      <c r="O193" s="28" t="s">
        <v>9573</v>
      </c>
      <c r="P193" s="28" t="s">
        <v>8687</v>
      </c>
      <c r="Q193" s="196" t="s">
        <v>6461</v>
      </c>
    </row>
    <row r="194" customFormat="false" ht="57.75" hidden="false" customHeight="true" outlineLevel="0" collapsed="false">
      <c r="A194" s="224" t="s">
        <v>9626</v>
      </c>
      <c r="B194" s="224" t="s">
        <v>3338</v>
      </c>
      <c r="C194" s="233" t="s">
        <v>9627</v>
      </c>
      <c r="D194" s="224" t="s">
        <v>9628</v>
      </c>
      <c r="E194" s="224" t="s">
        <v>9567</v>
      </c>
      <c r="F194" s="224" t="s">
        <v>608</v>
      </c>
      <c r="G194" s="224" t="s">
        <v>608</v>
      </c>
      <c r="H194" s="224" t="s">
        <v>9629</v>
      </c>
      <c r="I194" s="236" t="s">
        <v>9630</v>
      </c>
      <c r="J194" s="224" t="s">
        <v>6251</v>
      </c>
      <c r="K194" s="237" t="s">
        <v>9631</v>
      </c>
      <c r="L194" s="196" t="s">
        <v>8557</v>
      </c>
      <c r="M194" s="6" t="s">
        <v>608</v>
      </c>
      <c r="N194" s="28" t="s">
        <v>608</v>
      </c>
      <c r="O194" s="28" t="s">
        <v>608</v>
      </c>
      <c r="P194" s="28" t="s">
        <v>8711</v>
      </c>
      <c r="Q194" s="196" t="s">
        <v>6461</v>
      </c>
    </row>
    <row r="195" customFormat="false" ht="86.25" hidden="false" customHeight="true" outlineLevel="0" collapsed="false">
      <c r="A195" s="224" t="s">
        <v>9632</v>
      </c>
      <c r="B195" s="224" t="s">
        <v>3338</v>
      </c>
      <c r="C195" s="233" t="s">
        <v>9633</v>
      </c>
      <c r="D195" s="224" t="s">
        <v>9634</v>
      </c>
      <c r="E195" s="224" t="s">
        <v>9635</v>
      </c>
      <c r="F195" s="224" t="s">
        <v>9636</v>
      </c>
      <c r="G195" s="224" t="s">
        <v>9637</v>
      </c>
      <c r="H195" s="224" t="s">
        <v>9638</v>
      </c>
      <c r="I195" s="236" t="s">
        <v>9639</v>
      </c>
      <c r="J195" s="224" t="s">
        <v>6251</v>
      </c>
      <c r="K195" s="233" t="s">
        <v>9640</v>
      </c>
      <c r="L195" s="196" t="s">
        <v>8557</v>
      </c>
      <c r="M195" s="6" t="s">
        <v>608</v>
      </c>
      <c r="N195" s="28" t="s">
        <v>608</v>
      </c>
      <c r="O195" s="28" t="s">
        <v>9641</v>
      </c>
      <c r="P195" s="28" t="s">
        <v>8711</v>
      </c>
      <c r="Q195" s="196" t="s">
        <v>6461</v>
      </c>
    </row>
    <row r="196" customFormat="false" ht="100.5" hidden="false" customHeight="true" outlineLevel="0" collapsed="false">
      <c r="A196" s="224" t="s">
        <v>6909</v>
      </c>
      <c r="B196" s="224" t="s">
        <v>3338</v>
      </c>
      <c r="C196" s="233" t="s">
        <v>9642</v>
      </c>
      <c r="D196" s="224" t="s">
        <v>9643</v>
      </c>
      <c r="E196" s="224" t="s">
        <v>9644</v>
      </c>
      <c r="F196" s="224" t="s">
        <v>9645</v>
      </c>
      <c r="G196" s="224" t="s">
        <v>9646</v>
      </c>
      <c r="H196" s="236" t="s">
        <v>9647</v>
      </c>
      <c r="I196" s="236" t="s">
        <v>9648</v>
      </c>
      <c r="J196" s="224" t="s">
        <v>6251</v>
      </c>
      <c r="K196" s="233" t="s">
        <v>9649</v>
      </c>
      <c r="L196" s="196" t="s">
        <v>8557</v>
      </c>
      <c r="M196" s="6" t="s">
        <v>5513</v>
      </c>
      <c r="N196" s="28" t="s">
        <v>608</v>
      </c>
      <c r="O196" s="28" t="s">
        <v>9650</v>
      </c>
      <c r="P196" s="28" t="s">
        <v>8736</v>
      </c>
      <c r="Q196" s="196" t="s">
        <v>6461</v>
      </c>
    </row>
    <row r="197" customFormat="false" ht="72" hidden="false" customHeight="true" outlineLevel="0" collapsed="false">
      <c r="A197" s="224" t="s">
        <v>6917</v>
      </c>
      <c r="B197" s="224" t="s">
        <v>3338</v>
      </c>
      <c r="C197" s="233" t="s">
        <v>9651</v>
      </c>
      <c r="D197" s="224" t="s">
        <v>9652</v>
      </c>
      <c r="E197" s="224" t="s">
        <v>9644</v>
      </c>
      <c r="F197" s="224" t="s">
        <v>9653</v>
      </c>
      <c r="G197" s="224" t="s">
        <v>9654</v>
      </c>
      <c r="H197" s="236" t="s">
        <v>9655</v>
      </c>
      <c r="I197" s="236" t="s">
        <v>9656</v>
      </c>
      <c r="J197" s="224" t="s">
        <v>6251</v>
      </c>
      <c r="K197" s="237" t="s">
        <v>9657</v>
      </c>
      <c r="L197" s="196" t="s">
        <v>8557</v>
      </c>
      <c r="M197" s="6" t="s">
        <v>6910</v>
      </c>
      <c r="N197" s="28" t="s">
        <v>608</v>
      </c>
      <c r="O197" s="28" t="s">
        <v>9650</v>
      </c>
      <c r="P197" s="28" t="s">
        <v>8736</v>
      </c>
      <c r="Q197" s="196" t="s">
        <v>6461</v>
      </c>
    </row>
    <row r="198" customFormat="false" ht="72" hidden="false" customHeight="true" outlineLevel="0" collapsed="false">
      <c r="A198" s="224" t="s">
        <v>6927</v>
      </c>
      <c r="B198" s="224" t="s">
        <v>3338</v>
      </c>
      <c r="C198" s="233" t="s">
        <v>9658</v>
      </c>
      <c r="D198" s="224" t="s">
        <v>9659</v>
      </c>
      <c r="E198" s="224" t="s">
        <v>9660</v>
      </c>
      <c r="F198" s="224" t="s">
        <v>9661</v>
      </c>
      <c r="G198" s="224" t="s">
        <v>9654</v>
      </c>
      <c r="H198" s="224" t="s">
        <v>9662</v>
      </c>
      <c r="I198" s="236" t="s">
        <v>9663</v>
      </c>
      <c r="J198" s="224" t="s">
        <v>6251</v>
      </c>
      <c r="K198" s="237" t="s">
        <v>9664</v>
      </c>
      <c r="L198" s="196" t="s">
        <v>8557</v>
      </c>
      <c r="M198" s="6" t="s">
        <v>5528</v>
      </c>
      <c r="N198" s="28" t="s">
        <v>608</v>
      </c>
      <c r="O198" s="28" t="s">
        <v>9650</v>
      </c>
      <c r="P198" s="28" t="s">
        <v>8711</v>
      </c>
      <c r="Q198" s="196" t="s">
        <v>6461</v>
      </c>
    </row>
    <row r="199" customFormat="false" ht="57.75" hidden="false" customHeight="true" outlineLevel="0" collapsed="false">
      <c r="A199" s="224" t="s">
        <v>9665</v>
      </c>
      <c r="B199" s="224" t="s">
        <v>3338</v>
      </c>
      <c r="C199" s="233" t="s">
        <v>9666</v>
      </c>
      <c r="D199" s="224" t="s">
        <v>9667</v>
      </c>
      <c r="E199" s="224" t="s">
        <v>9668</v>
      </c>
      <c r="F199" s="224" t="s">
        <v>9669</v>
      </c>
      <c r="G199" s="224" t="s">
        <v>9670</v>
      </c>
      <c r="H199" s="224" t="s">
        <v>9671</v>
      </c>
      <c r="I199" s="236" t="s">
        <v>9672</v>
      </c>
      <c r="J199" s="224" t="s">
        <v>6251</v>
      </c>
      <c r="K199" s="237" t="s">
        <v>9673</v>
      </c>
      <c r="L199" s="196" t="s">
        <v>8557</v>
      </c>
      <c r="M199" s="6" t="s">
        <v>608</v>
      </c>
      <c r="N199" s="28" t="s">
        <v>608</v>
      </c>
      <c r="O199" s="28" t="s">
        <v>9650</v>
      </c>
      <c r="P199" s="28" t="s">
        <v>8711</v>
      </c>
      <c r="Q199" s="196" t="s">
        <v>6461</v>
      </c>
    </row>
    <row r="200" customFormat="false" ht="72" hidden="false" customHeight="true" outlineLevel="0" collapsed="false">
      <c r="A200" s="224" t="s">
        <v>9674</v>
      </c>
      <c r="B200" s="224" t="s">
        <v>3338</v>
      </c>
      <c r="C200" s="233" t="s">
        <v>9675</v>
      </c>
      <c r="D200" s="224" t="s">
        <v>9676</v>
      </c>
      <c r="E200" s="224" t="s">
        <v>9635</v>
      </c>
      <c r="F200" s="224" t="s">
        <v>9677</v>
      </c>
      <c r="G200" s="224" t="s">
        <v>9654</v>
      </c>
      <c r="H200" s="224" t="s">
        <v>9678</v>
      </c>
      <c r="I200" s="236" t="s">
        <v>9679</v>
      </c>
      <c r="J200" s="224" t="s">
        <v>6251</v>
      </c>
      <c r="K200" s="237" t="s">
        <v>9680</v>
      </c>
      <c r="L200" s="196" t="s">
        <v>8557</v>
      </c>
      <c r="M200" s="6" t="s">
        <v>608</v>
      </c>
      <c r="N200" s="28" t="s">
        <v>608</v>
      </c>
      <c r="O200" s="28" t="s">
        <v>9650</v>
      </c>
      <c r="P200" s="28" t="s">
        <v>8711</v>
      </c>
      <c r="Q200" s="196" t="s">
        <v>6461</v>
      </c>
    </row>
    <row r="201" customFormat="false" ht="57.75" hidden="false" customHeight="true" outlineLevel="0" collapsed="false">
      <c r="A201" s="224" t="s">
        <v>9681</v>
      </c>
      <c r="B201" s="224" t="s">
        <v>3338</v>
      </c>
      <c r="C201" s="237" t="s">
        <v>9682</v>
      </c>
      <c r="D201" s="224" t="s">
        <v>9683</v>
      </c>
      <c r="E201" s="224" t="s">
        <v>9684</v>
      </c>
      <c r="F201" s="224" t="s">
        <v>9685</v>
      </c>
      <c r="G201" s="224" t="s">
        <v>9686</v>
      </c>
      <c r="H201" s="224" t="s">
        <v>9687</v>
      </c>
      <c r="I201" s="236" t="s">
        <v>9688</v>
      </c>
      <c r="J201" s="224" t="s">
        <v>6251</v>
      </c>
      <c r="K201" s="237" t="s">
        <v>9689</v>
      </c>
      <c r="L201" s="196" t="s">
        <v>8557</v>
      </c>
      <c r="M201" s="6" t="s">
        <v>608</v>
      </c>
      <c r="N201" s="28" t="s">
        <v>608</v>
      </c>
      <c r="O201" s="28" t="s">
        <v>9690</v>
      </c>
      <c r="P201" s="28" t="s">
        <v>8687</v>
      </c>
      <c r="Q201" s="196" t="s">
        <v>6461</v>
      </c>
    </row>
    <row r="202" customFormat="false" ht="72" hidden="false" customHeight="true" outlineLevel="0" collapsed="false">
      <c r="A202" s="224" t="s">
        <v>9691</v>
      </c>
      <c r="B202" s="224" t="s">
        <v>3338</v>
      </c>
      <c r="C202" s="233" t="s">
        <v>9692</v>
      </c>
      <c r="D202" s="224" t="s">
        <v>9693</v>
      </c>
      <c r="E202" s="224" t="s">
        <v>9694</v>
      </c>
      <c r="F202" s="224" t="s">
        <v>9695</v>
      </c>
      <c r="G202" s="224" t="s">
        <v>9696</v>
      </c>
      <c r="H202" s="224" t="s">
        <v>9697</v>
      </c>
      <c r="I202" s="236" t="s">
        <v>9698</v>
      </c>
      <c r="J202" s="224" t="s">
        <v>6251</v>
      </c>
      <c r="K202" s="233" t="s">
        <v>9699</v>
      </c>
      <c r="L202" s="196" t="s">
        <v>8557</v>
      </c>
      <c r="M202" s="6" t="s">
        <v>608</v>
      </c>
      <c r="N202" s="28" t="s">
        <v>608</v>
      </c>
      <c r="O202" s="28" t="s">
        <v>9690</v>
      </c>
      <c r="P202" s="28" t="s">
        <v>8736</v>
      </c>
      <c r="Q202" s="196" t="s">
        <v>6461</v>
      </c>
    </row>
    <row r="203" customFormat="false" ht="72" hidden="false" customHeight="true" outlineLevel="0" collapsed="false">
      <c r="A203" s="224" t="s">
        <v>7941</v>
      </c>
      <c r="B203" s="224" t="s">
        <v>6278</v>
      </c>
      <c r="C203" s="233" t="s">
        <v>9700</v>
      </c>
      <c r="D203" s="224" t="s">
        <v>9701</v>
      </c>
      <c r="E203" s="224" t="s">
        <v>9702</v>
      </c>
      <c r="F203" s="224" t="s">
        <v>9703</v>
      </c>
      <c r="G203" s="224" t="s">
        <v>608</v>
      </c>
      <c r="H203" s="224" t="s">
        <v>9704</v>
      </c>
      <c r="I203" s="236" t="s">
        <v>9705</v>
      </c>
      <c r="J203" s="224" t="s">
        <v>6275</v>
      </c>
      <c r="K203" s="237" t="s">
        <v>9706</v>
      </c>
      <c r="L203" s="196" t="s">
        <v>8557</v>
      </c>
      <c r="M203" s="6" t="s">
        <v>9707</v>
      </c>
      <c r="N203" s="28" t="s">
        <v>608</v>
      </c>
      <c r="O203" s="28" t="s">
        <v>9708</v>
      </c>
      <c r="P203" s="28" t="s">
        <v>8736</v>
      </c>
      <c r="Q203" s="196" t="s">
        <v>6461</v>
      </c>
    </row>
    <row r="204" customFormat="false" ht="72" hidden="false" customHeight="true" outlineLevel="0" collapsed="false">
      <c r="A204" s="224" t="s">
        <v>7960</v>
      </c>
      <c r="B204" s="224" t="s">
        <v>6278</v>
      </c>
      <c r="C204" s="233" t="s">
        <v>9709</v>
      </c>
      <c r="D204" s="224" t="s">
        <v>9710</v>
      </c>
      <c r="E204" s="224" t="s">
        <v>9702</v>
      </c>
      <c r="F204" s="224" t="s">
        <v>9711</v>
      </c>
      <c r="G204" s="224" t="s">
        <v>608</v>
      </c>
      <c r="H204" s="224" t="s">
        <v>9712</v>
      </c>
      <c r="I204" s="236" t="s">
        <v>9713</v>
      </c>
      <c r="J204" s="224" t="s">
        <v>6275</v>
      </c>
      <c r="K204" s="233" t="s">
        <v>9714</v>
      </c>
      <c r="L204" s="196" t="s">
        <v>8557</v>
      </c>
      <c r="M204" s="6" t="s">
        <v>9715</v>
      </c>
      <c r="N204" s="28" t="s">
        <v>608</v>
      </c>
      <c r="O204" s="28" t="s">
        <v>9708</v>
      </c>
      <c r="P204" s="28" t="s">
        <v>8736</v>
      </c>
      <c r="Q204" s="196" t="s">
        <v>6461</v>
      </c>
    </row>
    <row r="205" customFormat="false" ht="72" hidden="false" customHeight="true" outlineLevel="0" collapsed="false">
      <c r="A205" s="224" t="s">
        <v>7969</v>
      </c>
      <c r="B205" s="224" t="s">
        <v>6278</v>
      </c>
      <c r="C205" s="233" t="s">
        <v>9716</v>
      </c>
      <c r="D205" s="224" t="s">
        <v>9717</v>
      </c>
      <c r="E205" s="224" t="s">
        <v>9567</v>
      </c>
      <c r="F205" s="224" t="s">
        <v>9718</v>
      </c>
      <c r="G205" s="224" t="s">
        <v>608</v>
      </c>
      <c r="H205" s="224" t="s">
        <v>9719</v>
      </c>
      <c r="I205" s="236" t="s">
        <v>9720</v>
      </c>
      <c r="J205" s="224" t="s">
        <v>6275</v>
      </c>
      <c r="K205" s="237" t="s">
        <v>9721</v>
      </c>
      <c r="L205" s="196" t="s">
        <v>8557</v>
      </c>
      <c r="M205" s="6" t="s">
        <v>9722</v>
      </c>
      <c r="N205" s="28" t="s">
        <v>608</v>
      </c>
      <c r="O205" s="28" t="s">
        <v>9708</v>
      </c>
      <c r="P205" s="28" t="s">
        <v>8711</v>
      </c>
      <c r="Q205" s="196" t="s">
        <v>6461</v>
      </c>
    </row>
    <row r="206" customFormat="false" ht="72" hidden="false" customHeight="true" outlineLevel="0" collapsed="false">
      <c r="A206" s="224" t="s">
        <v>7980</v>
      </c>
      <c r="B206" s="224" t="s">
        <v>6278</v>
      </c>
      <c r="C206" s="233" t="s">
        <v>9723</v>
      </c>
      <c r="D206" s="224" t="s">
        <v>9724</v>
      </c>
      <c r="E206" s="224" t="s">
        <v>9567</v>
      </c>
      <c r="F206" s="224" t="s">
        <v>9725</v>
      </c>
      <c r="G206" s="224" t="s">
        <v>608</v>
      </c>
      <c r="H206" s="224" t="s">
        <v>9726</v>
      </c>
      <c r="I206" s="236" t="s">
        <v>9727</v>
      </c>
      <c r="J206" s="224" t="s">
        <v>6275</v>
      </c>
      <c r="K206" s="237" t="s">
        <v>9728</v>
      </c>
      <c r="L206" s="196" t="s">
        <v>8557</v>
      </c>
      <c r="M206" s="6" t="s">
        <v>1275</v>
      </c>
      <c r="N206" s="28" t="s">
        <v>608</v>
      </c>
      <c r="O206" s="28" t="s">
        <v>9708</v>
      </c>
      <c r="P206" s="28" t="s">
        <v>8711</v>
      </c>
      <c r="Q206" s="196" t="s">
        <v>6461</v>
      </c>
    </row>
    <row r="207" customFormat="false" ht="72" hidden="false" customHeight="true" outlineLevel="0" collapsed="false">
      <c r="A207" s="224" t="s">
        <v>9729</v>
      </c>
      <c r="B207" s="224" t="s">
        <v>6278</v>
      </c>
      <c r="C207" s="233" t="s">
        <v>9730</v>
      </c>
      <c r="D207" s="224" t="s">
        <v>9731</v>
      </c>
      <c r="E207" s="224" t="s">
        <v>9567</v>
      </c>
      <c r="F207" s="224" t="s">
        <v>608</v>
      </c>
      <c r="G207" s="224" t="s">
        <v>608</v>
      </c>
      <c r="H207" s="224" t="s">
        <v>9732</v>
      </c>
      <c r="I207" s="236" t="s">
        <v>9733</v>
      </c>
      <c r="J207" s="224" t="s">
        <v>6275</v>
      </c>
      <c r="K207" s="237" t="s">
        <v>9734</v>
      </c>
      <c r="L207" s="196" t="s">
        <v>8557</v>
      </c>
      <c r="M207" s="6" t="s">
        <v>608</v>
      </c>
      <c r="N207" s="28" t="s">
        <v>608</v>
      </c>
      <c r="O207" s="28" t="s">
        <v>608</v>
      </c>
      <c r="P207" s="28" t="s">
        <v>8711</v>
      </c>
      <c r="Q207" s="196" t="s">
        <v>6461</v>
      </c>
    </row>
    <row r="208" customFormat="false" ht="72" hidden="false" customHeight="true" outlineLevel="0" collapsed="false">
      <c r="A208" s="224" t="s">
        <v>7987</v>
      </c>
      <c r="B208" s="224" t="s">
        <v>6278</v>
      </c>
      <c r="C208" s="233" t="s">
        <v>9735</v>
      </c>
      <c r="D208" s="224" t="s">
        <v>9736</v>
      </c>
      <c r="E208" s="224" t="s">
        <v>9737</v>
      </c>
      <c r="F208" s="224" t="s">
        <v>9718</v>
      </c>
      <c r="G208" s="224" t="s">
        <v>608</v>
      </c>
      <c r="H208" s="224" t="s">
        <v>9738</v>
      </c>
      <c r="I208" s="236" t="s">
        <v>9739</v>
      </c>
      <c r="J208" s="224" t="s">
        <v>6275</v>
      </c>
      <c r="K208" s="233" t="s">
        <v>9740</v>
      </c>
      <c r="L208" s="196" t="s">
        <v>8557</v>
      </c>
      <c r="M208" s="6" t="s">
        <v>9741</v>
      </c>
      <c r="N208" s="28" t="s">
        <v>608</v>
      </c>
      <c r="O208" s="28" t="s">
        <v>9708</v>
      </c>
      <c r="P208" s="28" t="s">
        <v>9742</v>
      </c>
      <c r="Q208" s="196" t="s">
        <v>6461</v>
      </c>
    </row>
    <row r="209" customFormat="false" ht="72" hidden="false" customHeight="true" outlineLevel="0" collapsed="false">
      <c r="A209" s="224" t="s">
        <v>8012</v>
      </c>
      <c r="B209" s="224" t="s">
        <v>6278</v>
      </c>
      <c r="C209" s="233" t="s">
        <v>9743</v>
      </c>
      <c r="D209" s="224" t="s">
        <v>9744</v>
      </c>
      <c r="E209" s="224" t="s">
        <v>9567</v>
      </c>
      <c r="F209" s="224" t="s">
        <v>9745</v>
      </c>
      <c r="G209" s="224" t="s">
        <v>608</v>
      </c>
      <c r="H209" s="224" t="s">
        <v>9746</v>
      </c>
      <c r="I209" s="236" t="s">
        <v>9747</v>
      </c>
      <c r="J209" s="224" t="s">
        <v>6275</v>
      </c>
      <c r="K209" s="237" t="s">
        <v>9748</v>
      </c>
      <c r="L209" s="196" t="s">
        <v>8557</v>
      </c>
      <c r="M209" s="6" t="s">
        <v>9749</v>
      </c>
      <c r="N209" s="28" t="s">
        <v>608</v>
      </c>
      <c r="O209" s="28" t="s">
        <v>608</v>
      </c>
      <c r="P209" s="28" t="s">
        <v>8711</v>
      </c>
      <c r="Q209" s="196" t="s">
        <v>6461</v>
      </c>
    </row>
    <row r="210" customFormat="false" ht="72" hidden="false" customHeight="true" outlineLevel="0" collapsed="false">
      <c r="A210" s="224" t="s">
        <v>8022</v>
      </c>
      <c r="B210" s="224" t="s">
        <v>6278</v>
      </c>
      <c r="C210" s="233" t="s">
        <v>9750</v>
      </c>
      <c r="D210" s="224" t="s">
        <v>9751</v>
      </c>
      <c r="E210" s="224" t="s">
        <v>9702</v>
      </c>
      <c r="F210" s="224" t="s">
        <v>9752</v>
      </c>
      <c r="G210" s="224" t="s">
        <v>608</v>
      </c>
      <c r="H210" s="224" t="s">
        <v>9753</v>
      </c>
      <c r="I210" s="236" t="s">
        <v>9754</v>
      </c>
      <c r="J210" s="224" t="s">
        <v>6275</v>
      </c>
      <c r="K210" s="233" t="s">
        <v>9755</v>
      </c>
      <c r="L210" s="196" t="s">
        <v>8557</v>
      </c>
      <c r="M210" s="6" t="s">
        <v>9756</v>
      </c>
      <c r="N210" s="28" t="s">
        <v>608</v>
      </c>
      <c r="O210" s="28" t="s">
        <v>608</v>
      </c>
      <c r="P210" s="28" t="s">
        <v>8736</v>
      </c>
      <c r="Q210" s="196" t="s">
        <v>6461</v>
      </c>
    </row>
    <row r="211" customFormat="false" ht="72" hidden="false" customHeight="true" outlineLevel="0" collapsed="false">
      <c r="A211" s="224" t="s">
        <v>8037</v>
      </c>
      <c r="B211" s="224" t="s">
        <v>6278</v>
      </c>
      <c r="C211" s="233" t="s">
        <v>9757</v>
      </c>
      <c r="D211" s="224" t="s">
        <v>9758</v>
      </c>
      <c r="E211" s="224" t="s">
        <v>9567</v>
      </c>
      <c r="F211" s="224" t="s">
        <v>9759</v>
      </c>
      <c r="G211" s="224" t="s">
        <v>608</v>
      </c>
      <c r="H211" s="236" t="s">
        <v>9760</v>
      </c>
      <c r="I211" s="236" t="s">
        <v>9761</v>
      </c>
      <c r="J211" s="224" t="s">
        <v>6275</v>
      </c>
      <c r="K211" s="237" t="s">
        <v>9762</v>
      </c>
      <c r="L211" s="196" t="s">
        <v>8557</v>
      </c>
      <c r="M211" s="6" t="s">
        <v>9763</v>
      </c>
      <c r="N211" s="28" t="s">
        <v>608</v>
      </c>
      <c r="O211" s="28" t="s">
        <v>608</v>
      </c>
      <c r="P211" s="28" t="s">
        <v>8711</v>
      </c>
      <c r="Q211" s="196" t="s">
        <v>6461</v>
      </c>
    </row>
    <row r="212" customFormat="false" ht="72" hidden="false" customHeight="true" outlineLevel="0" collapsed="false">
      <c r="A212" s="224" t="s">
        <v>8058</v>
      </c>
      <c r="B212" s="224" t="s">
        <v>6278</v>
      </c>
      <c r="C212" s="233" t="s">
        <v>9764</v>
      </c>
      <c r="D212" s="224" t="s">
        <v>9765</v>
      </c>
      <c r="E212" s="224" t="s">
        <v>9567</v>
      </c>
      <c r="F212" s="236" t="s">
        <v>9766</v>
      </c>
      <c r="G212" s="224" t="s">
        <v>9767</v>
      </c>
      <c r="H212" s="236" t="s">
        <v>9768</v>
      </c>
      <c r="I212" s="236" t="s">
        <v>9769</v>
      </c>
      <c r="J212" s="224" t="s">
        <v>6275</v>
      </c>
      <c r="K212" s="233" t="s">
        <v>9770</v>
      </c>
      <c r="L212" s="196" t="s">
        <v>8557</v>
      </c>
      <c r="M212" s="6" t="s">
        <v>9771</v>
      </c>
      <c r="N212" s="28" t="s">
        <v>608</v>
      </c>
      <c r="O212" s="28" t="s">
        <v>9708</v>
      </c>
      <c r="P212" s="28" t="s">
        <v>8711</v>
      </c>
      <c r="Q212" s="196" t="s">
        <v>6461</v>
      </c>
    </row>
    <row r="213" customFormat="false" ht="72" hidden="false" customHeight="true" outlineLevel="0" collapsed="false">
      <c r="A213" s="224" t="s">
        <v>8084</v>
      </c>
      <c r="B213" s="224" t="s">
        <v>6278</v>
      </c>
      <c r="C213" s="233" t="s">
        <v>9772</v>
      </c>
      <c r="D213" s="224" t="s">
        <v>9773</v>
      </c>
      <c r="E213" s="224" t="s">
        <v>9567</v>
      </c>
      <c r="F213" s="236" t="s">
        <v>9774</v>
      </c>
      <c r="G213" s="224" t="s">
        <v>608</v>
      </c>
      <c r="H213" s="224" t="s">
        <v>9775</v>
      </c>
      <c r="I213" s="236" t="s">
        <v>9776</v>
      </c>
      <c r="J213" s="224" t="s">
        <v>6275</v>
      </c>
      <c r="K213" s="237" t="s">
        <v>9777</v>
      </c>
      <c r="L213" s="196" t="s">
        <v>8557</v>
      </c>
      <c r="M213" s="6" t="s">
        <v>5617</v>
      </c>
      <c r="N213" s="28" t="s">
        <v>608</v>
      </c>
      <c r="O213" s="28" t="s">
        <v>608</v>
      </c>
      <c r="P213" s="28" t="s">
        <v>8711</v>
      </c>
      <c r="Q213" s="196" t="s">
        <v>6461</v>
      </c>
    </row>
    <row r="214" customFormat="false" ht="72" hidden="false" customHeight="true" outlineLevel="0" collapsed="false">
      <c r="A214" s="224" t="s">
        <v>8093</v>
      </c>
      <c r="B214" s="224" t="s">
        <v>6278</v>
      </c>
      <c r="C214" s="233" t="s">
        <v>9778</v>
      </c>
      <c r="D214" s="224" t="s">
        <v>9779</v>
      </c>
      <c r="E214" s="224" t="s">
        <v>9567</v>
      </c>
      <c r="F214" s="224" t="s">
        <v>9780</v>
      </c>
      <c r="G214" s="224" t="s">
        <v>608</v>
      </c>
      <c r="H214" s="224" t="s">
        <v>9781</v>
      </c>
      <c r="I214" s="236" t="s">
        <v>9782</v>
      </c>
      <c r="J214" s="224" t="s">
        <v>6275</v>
      </c>
      <c r="K214" s="233" t="s">
        <v>9783</v>
      </c>
      <c r="L214" s="196" t="s">
        <v>8557</v>
      </c>
      <c r="M214" s="6" t="s">
        <v>9784</v>
      </c>
      <c r="N214" s="28" t="s">
        <v>608</v>
      </c>
      <c r="O214" s="28" t="s">
        <v>608</v>
      </c>
      <c r="P214" s="28" t="s">
        <v>8711</v>
      </c>
      <c r="Q214" s="196" t="s">
        <v>6461</v>
      </c>
    </row>
    <row r="215" customFormat="false" ht="72" hidden="false" customHeight="true" outlineLevel="0" collapsed="false">
      <c r="A215" s="224" t="s">
        <v>8102</v>
      </c>
      <c r="B215" s="224" t="s">
        <v>6278</v>
      </c>
      <c r="C215" s="233" t="s">
        <v>9785</v>
      </c>
      <c r="D215" s="224" t="s">
        <v>9786</v>
      </c>
      <c r="E215" s="224" t="s">
        <v>9702</v>
      </c>
      <c r="F215" s="236" t="s">
        <v>9787</v>
      </c>
      <c r="G215" s="224" t="s">
        <v>608</v>
      </c>
      <c r="H215" s="224" t="s">
        <v>9788</v>
      </c>
      <c r="I215" s="236" t="s">
        <v>9789</v>
      </c>
      <c r="J215" s="224" t="s">
        <v>6275</v>
      </c>
      <c r="K215" s="237" t="s">
        <v>9790</v>
      </c>
      <c r="L215" s="196" t="s">
        <v>8557</v>
      </c>
      <c r="M215" s="6" t="s">
        <v>8096</v>
      </c>
      <c r="N215" s="28" t="s">
        <v>608</v>
      </c>
      <c r="O215" s="28" t="s">
        <v>9791</v>
      </c>
      <c r="P215" s="28" t="s">
        <v>8736</v>
      </c>
      <c r="Q215" s="196" t="s">
        <v>6461</v>
      </c>
    </row>
    <row r="216" customFormat="false" ht="72" hidden="false" customHeight="true" outlineLevel="0" collapsed="false">
      <c r="A216" s="224" t="s">
        <v>8111</v>
      </c>
      <c r="B216" s="224" t="s">
        <v>6278</v>
      </c>
      <c r="C216" s="233" t="s">
        <v>9792</v>
      </c>
      <c r="D216" s="224" t="s">
        <v>9793</v>
      </c>
      <c r="E216" s="224" t="s">
        <v>9702</v>
      </c>
      <c r="F216" s="236" t="s">
        <v>9794</v>
      </c>
      <c r="G216" s="224" t="s">
        <v>608</v>
      </c>
      <c r="H216" s="224" t="s">
        <v>9795</v>
      </c>
      <c r="I216" s="236" t="s">
        <v>9796</v>
      </c>
      <c r="J216" s="224" t="s">
        <v>6275</v>
      </c>
      <c r="K216" s="237" t="s">
        <v>9797</v>
      </c>
      <c r="L216" s="196" t="s">
        <v>8557</v>
      </c>
      <c r="M216" s="6" t="s">
        <v>8105</v>
      </c>
      <c r="N216" s="28" t="s">
        <v>608</v>
      </c>
      <c r="O216" s="28" t="s">
        <v>608</v>
      </c>
      <c r="P216" s="28" t="s">
        <v>8736</v>
      </c>
      <c r="Q216" s="196" t="s">
        <v>6461</v>
      </c>
    </row>
    <row r="217" customFormat="false" ht="72" hidden="false" customHeight="true" outlineLevel="0" collapsed="false">
      <c r="A217" s="224" t="s">
        <v>8121</v>
      </c>
      <c r="B217" s="224" t="s">
        <v>6278</v>
      </c>
      <c r="C217" s="233" t="s">
        <v>9798</v>
      </c>
      <c r="D217" s="224" t="s">
        <v>9799</v>
      </c>
      <c r="E217" s="224" t="s">
        <v>9800</v>
      </c>
      <c r="F217" s="224" t="s">
        <v>9801</v>
      </c>
      <c r="G217" s="224" t="s">
        <v>9802</v>
      </c>
      <c r="H217" s="224" t="s">
        <v>9803</v>
      </c>
      <c r="I217" s="236" t="s">
        <v>9804</v>
      </c>
      <c r="J217" s="224" t="s">
        <v>6275</v>
      </c>
      <c r="K217" s="233" t="s">
        <v>9805</v>
      </c>
      <c r="L217" s="196" t="s">
        <v>8557</v>
      </c>
      <c r="M217" s="6" t="s">
        <v>9806</v>
      </c>
      <c r="N217" s="28" t="s">
        <v>608</v>
      </c>
      <c r="O217" s="28" t="s">
        <v>9807</v>
      </c>
      <c r="P217" s="28" t="s">
        <v>8736</v>
      </c>
      <c r="Q217" s="196" t="s">
        <v>6568</v>
      </c>
    </row>
    <row r="218" customFormat="false" ht="72" hidden="false" customHeight="true" outlineLevel="0" collapsed="false">
      <c r="A218" s="224" t="s">
        <v>8136</v>
      </c>
      <c r="B218" s="224" t="s">
        <v>6278</v>
      </c>
      <c r="C218" s="233" t="s">
        <v>9808</v>
      </c>
      <c r="D218" s="224" t="s">
        <v>9809</v>
      </c>
      <c r="E218" s="224" t="s">
        <v>9567</v>
      </c>
      <c r="F218" s="224" t="s">
        <v>9810</v>
      </c>
      <c r="G218" s="224" t="s">
        <v>9802</v>
      </c>
      <c r="H218" s="224" t="s">
        <v>9811</v>
      </c>
      <c r="I218" s="236" t="s">
        <v>9812</v>
      </c>
      <c r="J218" s="224" t="s">
        <v>6275</v>
      </c>
      <c r="K218" s="237" t="s">
        <v>9813</v>
      </c>
      <c r="L218" s="196" t="s">
        <v>8557</v>
      </c>
      <c r="M218" s="6" t="s">
        <v>8129</v>
      </c>
      <c r="N218" s="28" t="s">
        <v>608</v>
      </c>
      <c r="O218" s="28" t="s">
        <v>9807</v>
      </c>
      <c r="P218" s="28" t="s">
        <v>8711</v>
      </c>
      <c r="Q218" s="196" t="s">
        <v>6461</v>
      </c>
    </row>
    <row r="219" customFormat="false" ht="72" hidden="false" customHeight="true" outlineLevel="0" collapsed="false">
      <c r="A219" s="224" t="s">
        <v>9814</v>
      </c>
      <c r="B219" s="224" t="s">
        <v>6278</v>
      </c>
      <c r="C219" s="233" t="s">
        <v>9815</v>
      </c>
      <c r="D219" s="224" t="s">
        <v>9816</v>
      </c>
      <c r="E219" s="224" t="s">
        <v>9817</v>
      </c>
      <c r="F219" s="224" t="s">
        <v>9818</v>
      </c>
      <c r="G219" s="224" t="s">
        <v>608</v>
      </c>
      <c r="H219" s="224" t="s">
        <v>608</v>
      </c>
      <c r="I219" s="236" t="s">
        <v>9819</v>
      </c>
      <c r="J219" s="224" t="s">
        <v>6275</v>
      </c>
      <c r="K219" s="233" t="s">
        <v>9820</v>
      </c>
      <c r="L219" s="196" t="s">
        <v>8557</v>
      </c>
      <c r="M219" s="6" t="s">
        <v>608</v>
      </c>
      <c r="N219" s="28" t="s">
        <v>608</v>
      </c>
      <c r="O219" s="28" t="s">
        <v>608</v>
      </c>
      <c r="P219" s="28" t="s">
        <v>8736</v>
      </c>
      <c r="Q219" s="196" t="s">
        <v>6461</v>
      </c>
    </row>
    <row r="220" customFormat="false" ht="72" hidden="false" customHeight="true" outlineLevel="0" collapsed="false">
      <c r="A220" s="224" t="s">
        <v>9821</v>
      </c>
      <c r="B220" s="224" t="s">
        <v>6278</v>
      </c>
      <c r="C220" s="233" t="s">
        <v>9822</v>
      </c>
      <c r="D220" s="224" t="s">
        <v>9823</v>
      </c>
      <c r="E220" s="224" t="s">
        <v>9567</v>
      </c>
      <c r="F220" s="224" t="s">
        <v>9824</v>
      </c>
      <c r="G220" s="224" t="s">
        <v>608</v>
      </c>
      <c r="H220" s="224" t="s">
        <v>9825</v>
      </c>
      <c r="I220" s="236" t="s">
        <v>9826</v>
      </c>
      <c r="J220" s="224" t="s">
        <v>6275</v>
      </c>
      <c r="K220" s="237" t="s">
        <v>9827</v>
      </c>
      <c r="L220" s="196" t="s">
        <v>8557</v>
      </c>
      <c r="M220" s="6" t="s">
        <v>608</v>
      </c>
      <c r="N220" s="28" t="s">
        <v>608</v>
      </c>
      <c r="O220" s="28" t="s">
        <v>608</v>
      </c>
      <c r="P220" s="28" t="s">
        <v>8711</v>
      </c>
      <c r="Q220" s="196" t="s">
        <v>6461</v>
      </c>
    </row>
    <row r="221" customFormat="false" ht="72" hidden="false" customHeight="true" outlineLevel="0" collapsed="false">
      <c r="A221" s="224" t="s">
        <v>9828</v>
      </c>
      <c r="B221" s="224" t="s">
        <v>6278</v>
      </c>
      <c r="C221" s="233" t="s">
        <v>9829</v>
      </c>
      <c r="D221" s="224" t="s">
        <v>9830</v>
      </c>
      <c r="E221" s="224" t="s">
        <v>9831</v>
      </c>
      <c r="F221" s="224" t="s">
        <v>9832</v>
      </c>
      <c r="G221" s="224" t="s">
        <v>608</v>
      </c>
      <c r="H221" s="224" t="s">
        <v>608</v>
      </c>
      <c r="I221" s="236" t="s">
        <v>9833</v>
      </c>
      <c r="J221" s="224" t="s">
        <v>6275</v>
      </c>
      <c r="K221" s="237" t="s">
        <v>9834</v>
      </c>
      <c r="L221" s="196" t="s">
        <v>8557</v>
      </c>
      <c r="M221" s="6" t="s">
        <v>608</v>
      </c>
      <c r="N221" s="28" t="s">
        <v>608</v>
      </c>
      <c r="O221" s="28" t="s">
        <v>608</v>
      </c>
      <c r="P221" s="28" t="s">
        <v>9742</v>
      </c>
      <c r="Q221" s="196" t="s">
        <v>6461</v>
      </c>
    </row>
    <row r="222" customFormat="false" ht="72" hidden="false" customHeight="true" outlineLevel="0" collapsed="false">
      <c r="A222" s="224" t="s">
        <v>9835</v>
      </c>
      <c r="B222" s="224" t="s">
        <v>6278</v>
      </c>
      <c r="C222" s="233" t="s">
        <v>9836</v>
      </c>
      <c r="D222" s="224" t="s">
        <v>9837</v>
      </c>
      <c r="E222" s="224" t="s">
        <v>9702</v>
      </c>
      <c r="F222" s="224" t="s">
        <v>9838</v>
      </c>
      <c r="G222" s="224" t="s">
        <v>608</v>
      </c>
      <c r="H222" s="224" t="s">
        <v>9839</v>
      </c>
      <c r="I222" s="236" t="s">
        <v>9840</v>
      </c>
      <c r="J222" s="224" t="s">
        <v>6275</v>
      </c>
      <c r="K222" s="237" t="s">
        <v>9841</v>
      </c>
      <c r="L222" s="196" t="s">
        <v>8557</v>
      </c>
      <c r="M222" s="6" t="s">
        <v>608</v>
      </c>
      <c r="N222" s="28" t="s">
        <v>608</v>
      </c>
      <c r="O222" s="28" t="s">
        <v>608</v>
      </c>
      <c r="P222" s="28" t="s">
        <v>8736</v>
      </c>
      <c r="Q222" s="196" t="s">
        <v>6461</v>
      </c>
    </row>
    <row r="223" customFormat="false" ht="72" hidden="false" customHeight="true" outlineLevel="0" collapsed="false">
      <c r="A223" s="224" t="s">
        <v>9842</v>
      </c>
      <c r="B223" s="224" t="s">
        <v>6278</v>
      </c>
      <c r="C223" s="233" t="s">
        <v>9843</v>
      </c>
      <c r="D223" s="224" t="s">
        <v>9844</v>
      </c>
      <c r="E223" s="224" t="s">
        <v>9845</v>
      </c>
      <c r="F223" s="224" t="s">
        <v>9846</v>
      </c>
      <c r="G223" s="224" t="s">
        <v>608</v>
      </c>
      <c r="H223" s="224" t="s">
        <v>608</v>
      </c>
      <c r="I223" s="236" t="s">
        <v>9847</v>
      </c>
      <c r="J223" s="224" t="s">
        <v>6275</v>
      </c>
      <c r="K223" s="237" t="s">
        <v>9848</v>
      </c>
      <c r="L223" s="196" t="s">
        <v>8557</v>
      </c>
      <c r="M223" s="6" t="s">
        <v>608</v>
      </c>
      <c r="N223" s="28" t="s">
        <v>608</v>
      </c>
      <c r="O223" s="28" t="s">
        <v>608</v>
      </c>
      <c r="P223" s="28" t="s">
        <v>8711</v>
      </c>
      <c r="Q223" s="196" t="s">
        <v>6461</v>
      </c>
    </row>
    <row r="224" customFormat="false" ht="72" hidden="false" customHeight="true" outlineLevel="0" collapsed="false">
      <c r="A224" s="224" t="s">
        <v>9849</v>
      </c>
      <c r="B224" s="224" t="s">
        <v>6278</v>
      </c>
      <c r="C224" s="233" t="s">
        <v>9850</v>
      </c>
      <c r="D224" s="224" t="s">
        <v>9851</v>
      </c>
      <c r="E224" s="224" t="s">
        <v>9567</v>
      </c>
      <c r="F224" s="224" t="s">
        <v>608</v>
      </c>
      <c r="G224" s="224" t="s">
        <v>608</v>
      </c>
      <c r="H224" s="224" t="s">
        <v>9852</v>
      </c>
      <c r="I224" s="236" t="s">
        <v>9853</v>
      </c>
      <c r="J224" s="224" t="s">
        <v>6275</v>
      </c>
      <c r="K224" s="237" t="s">
        <v>9854</v>
      </c>
      <c r="L224" s="196" t="s">
        <v>8557</v>
      </c>
      <c r="M224" s="6" t="s">
        <v>608</v>
      </c>
      <c r="N224" s="28" t="s">
        <v>608</v>
      </c>
      <c r="O224" s="28" t="s">
        <v>608</v>
      </c>
      <c r="P224" s="28" t="s">
        <v>8711</v>
      </c>
      <c r="Q224" s="196" t="s">
        <v>6461</v>
      </c>
    </row>
    <row r="225" customFormat="false" ht="72" hidden="false" customHeight="true" outlineLevel="0" collapsed="false">
      <c r="A225" s="224" t="s">
        <v>9855</v>
      </c>
      <c r="B225" s="224" t="s">
        <v>6278</v>
      </c>
      <c r="C225" s="233" t="s">
        <v>9856</v>
      </c>
      <c r="D225" s="224" t="s">
        <v>9857</v>
      </c>
      <c r="E225" s="224" t="s">
        <v>9620</v>
      </c>
      <c r="F225" s="236" t="s">
        <v>9858</v>
      </c>
      <c r="G225" s="224" t="s">
        <v>608</v>
      </c>
      <c r="H225" s="236" t="s">
        <v>9859</v>
      </c>
      <c r="I225" s="236" t="s">
        <v>9860</v>
      </c>
      <c r="J225" s="224" t="s">
        <v>6275</v>
      </c>
      <c r="K225" s="237" t="s">
        <v>9861</v>
      </c>
      <c r="L225" s="196" t="s">
        <v>8557</v>
      </c>
      <c r="M225" s="6" t="s">
        <v>608</v>
      </c>
      <c r="N225" s="28" t="s">
        <v>608</v>
      </c>
      <c r="O225" s="28" t="s">
        <v>608</v>
      </c>
      <c r="P225" s="28" t="s">
        <v>8687</v>
      </c>
      <c r="Q225" s="196" t="s">
        <v>9862</v>
      </c>
    </row>
    <row r="226" customFormat="false" ht="100.5" hidden="false" customHeight="true" outlineLevel="0" collapsed="false">
      <c r="A226" s="224" t="s">
        <v>8144</v>
      </c>
      <c r="B226" s="224" t="s">
        <v>6311</v>
      </c>
      <c r="C226" s="233" t="s">
        <v>9863</v>
      </c>
      <c r="D226" s="224" t="s">
        <v>9864</v>
      </c>
      <c r="E226" s="224" t="s">
        <v>9702</v>
      </c>
      <c r="F226" s="224" t="s">
        <v>9865</v>
      </c>
      <c r="G226" s="224" t="s">
        <v>9866</v>
      </c>
      <c r="H226" s="224" t="s">
        <v>9867</v>
      </c>
      <c r="I226" s="236" t="s">
        <v>9868</v>
      </c>
      <c r="J226" s="224" t="s">
        <v>6308</v>
      </c>
      <c r="K226" s="237" t="s">
        <v>9869</v>
      </c>
      <c r="L226" s="196" t="s">
        <v>8557</v>
      </c>
      <c r="M226" s="6" t="s">
        <v>9870</v>
      </c>
      <c r="N226" s="28" t="s">
        <v>608</v>
      </c>
      <c r="O226" s="28" t="s">
        <v>9871</v>
      </c>
      <c r="P226" s="28" t="s">
        <v>8736</v>
      </c>
      <c r="Q226" s="196" t="s">
        <v>6461</v>
      </c>
    </row>
    <row r="227" customFormat="false" ht="86.25" hidden="false" customHeight="true" outlineLevel="0" collapsed="false">
      <c r="A227" s="224" t="s">
        <v>8153</v>
      </c>
      <c r="B227" s="224" t="s">
        <v>6311</v>
      </c>
      <c r="C227" s="233" t="s">
        <v>9872</v>
      </c>
      <c r="D227" s="224" t="s">
        <v>9873</v>
      </c>
      <c r="E227" s="224" t="s">
        <v>9702</v>
      </c>
      <c r="F227" s="236" t="s">
        <v>9874</v>
      </c>
      <c r="G227" s="224" t="s">
        <v>608</v>
      </c>
      <c r="H227" s="224" t="s">
        <v>9875</v>
      </c>
      <c r="I227" s="236" t="s">
        <v>9876</v>
      </c>
      <c r="J227" s="224" t="s">
        <v>6308</v>
      </c>
      <c r="K227" s="237" t="s">
        <v>9877</v>
      </c>
      <c r="L227" s="196" t="s">
        <v>8557</v>
      </c>
      <c r="M227" s="6" t="s">
        <v>5561</v>
      </c>
      <c r="N227" s="28" t="s">
        <v>608</v>
      </c>
      <c r="O227" s="28" t="s">
        <v>9878</v>
      </c>
      <c r="P227" s="28" t="s">
        <v>8736</v>
      </c>
      <c r="Q227" s="196" t="s">
        <v>6461</v>
      </c>
    </row>
    <row r="228" customFormat="false" ht="100.5" hidden="false" customHeight="true" outlineLevel="0" collapsed="false">
      <c r="A228" s="224" t="s">
        <v>8163</v>
      </c>
      <c r="B228" s="224" t="s">
        <v>6311</v>
      </c>
      <c r="C228" s="233" t="s">
        <v>9879</v>
      </c>
      <c r="D228" s="224" t="s">
        <v>9880</v>
      </c>
      <c r="E228" s="224" t="s">
        <v>9881</v>
      </c>
      <c r="F228" s="224" t="s">
        <v>9882</v>
      </c>
      <c r="G228" s="224" t="s">
        <v>9883</v>
      </c>
      <c r="H228" s="224" t="s">
        <v>9884</v>
      </c>
      <c r="I228" s="236" t="s">
        <v>9885</v>
      </c>
      <c r="J228" s="224" t="s">
        <v>6308</v>
      </c>
      <c r="K228" s="233" t="s">
        <v>9886</v>
      </c>
      <c r="L228" s="196" t="s">
        <v>8557</v>
      </c>
      <c r="M228" s="6" t="s">
        <v>8156</v>
      </c>
      <c r="N228" s="28" t="s">
        <v>608</v>
      </c>
      <c r="O228" s="28" t="s">
        <v>608</v>
      </c>
      <c r="P228" s="28" t="s">
        <v>8736</v>
      </c>
      <c r="Q228" s="196" t="s">
        <v>6568</v>
      </c>
    </row>
    <row r="229" customFormat="false" ht="86.25" hidden="false" customHeight="true" outlineLevel="0" collapsed="false">
      <c r="A229" s="224" t="s">
        <v>8173</v>
      </c>
      <c r="B229" s="224" t="s">
        <v>6311</v>
      </c>
      <c r="C229" s="233" t="s">
        <v>9887</v>
      </c>
      <c r="D229" s="224" t="s">
        <v>9888</v>
      </c>
      <c r="E229" s="224" t="s">
        <v>9881</v>
      </c>
      <c r="F229" s="224" t="s">
        <v>9882</v>
      </c>
      <c r="G229" s="224" t="s">
        <v>9883</v>
      </c>
      <c r="H229" s="224" t="s">
        <v>9889</v>
      </c>
      <c r="I229" s="236" t="s">
        <v>9890</v>
      </c>
      <c r="J229" s="224" t="s">
        <v>6308</v>
      </c>
      <c r="K229" s="237" t="s">
        <v>9891</v>
      </c>
      <c r="L229" s="196" t="s">
        <v>8557</v>
      </c>
      <c r="M229" s="6" t="s">
        <v>8166</v>
      </c>
      <c r="N229" s="28" t="s">
        <v>608</v>
      </c>
      <c r="O229" s="28" t="s">
        <v>608</v>
      </c>
      <c r="P229" s="28" t="s">
        <v>8736</v>
      </c>
      <c r="Q229" s="196" t="s">
        <v>6568</v>
      </c>
    </row>
    <row r="230" customFormat="false" ht="86.25" hidden="false" customHeight="true" outlineLevel="0" collapsed="false">
      <c r="A230" s="224" t="s">
        <v>8183</v>
      </c>
      <c r="B230" s="224" t="s">
        <v>6311</v>
      </c>
      <c r="C230" s="233" t="s">
        <v>9892</v>
      </c>
      <c r="D230" s="224" t="s">
        <v>9893</v>
      </c>
      <c r="E230" s="224" t="s">
        <v>9894</v>
      </c>
      <c r="F230" s="236" t="s">
        <v>9895</v>
      </c>
      <c r="G230" s="224" t="s">
        <v>608</v>
      </c>
      <c r="H230" s="224" t="s">
        <v>9896</v>
      </c>
      <c r="I230" s="236" t="s">
        <v>9897</v>
      </c>
      <c r="J230" s="224" t="s">
        <v>6308</v>
      </c>
      <c r="K230" s="237" t="s">
        <v>9898</v>
      </c>
      <c r="L230" s="196" t="s">
        <v>8557</v>
      </c>
      <c r="M230" s="6" t="s">
        <v>8176</v>
      </c>
      <c r="N230" s="28" t="s">
        <v>608</v>
      </c>
      <c r="O230" s="28" t="s">
        <v>608</v>
      </c>
      <c r="P230" s="28" t="s">
        <v>8711</v>
      </c>
      <c r="Q230" s="196" t="s">
        <v>6461</v>
      </c>
    </row>
    <row r="231" customFormat="false" ht="86.25" hidden="false" customHeight="true" outlineLevel="0" collapsed="false">
      <c r="A231" s="224" t="s">
        <v>8191</v>
      </c>
      <c r="B231" s="224" t="s">
        <v>6311</v>
      </c>
      <c r="C231" s="237" t="s">
        <v>9899</v>
      </c>
      <c r="D231" s="224" t="s">
        <v>9900</v>
      </c>
      <c r="E231" s="224" t="s">
        <v>9702</v>
      </c>
      <c r="F231" s="224" t="s">
        <v>9901</v>
      </c>
      <c r="G231" s="224" t="s">
        <v>608</v>
      </c>
      <c r="H231" s="224" t="s">
        <v>9902</v>
      </c>
      <c r="I231" s="236" t="s">
        <v>9903</v>
      </c>
      <c r="J231" s="224" t="s">
        <v>6308</v>
      </c>
      <c r="K231" s="237" t="s">
        <v>9904</v>
      </c>
      <c r="L231" s="196" t="s">
        <v>8557</v>
      </c>
      <c r="M231" s="6" t="s">
        <v>8186</v>
      </c>
      <c r="N231" s="28" t="s">
        <v>608</v>
      </c>
      <c r="O231" s="28" t="s">
        <v>608</v>
      </c>
      <c r="P231" s="28" t="s">
        <v>8736</v>
      </c>
      <c r="Q231" s="196" t="s">
        <v>6461</v>
      </c>
    </row>
    <row r="232" customFormat="false" ht="100.5" hidden="false" customHeight="true" outlineLevel="0" collapsed="false">
      <c r="A232" s="224" t="s">
        <v>8201</v>
      </c>
      <c r="B232" s="224" t="s">
        <v>6311</v>
      </c>
      <c r="C232" s="233" t="s">
        <v>9905</v>
      </c>
      <c r="D232" s="224" t="s">
        <v>9906</v>
      </c>
      <c r="E232" s="224" t="s">
        <v>9567</v>
      </c>
      <c r="F232" s="224" t="s">
        <v>9907</v>
      </c>
      <c r="G232" s="224" t="s">
        <v>608</v>
      </c>
      <c r="H232" s="224" t="s">
        <v>9908</v>
      </c>
      <c r="I232" s="236" t="s">
        <v>9909</v>
      </c>
      <c r="J232" s="224" t="s">
        <v>6308</v>
      </c>
      <c r="K232" s="237" t="s">
        <v>9910</v>
      </c>
      <c r="L232" s="196" t="s">
        <v>8557</v>
      </c>
      <c r="M232" s="6" t="s">
        <v>8194</v>
      </c>
      <c r="N232" s="28" t="s">
        <v>608</v>
      </c>
      <c r="O232" s="28" t="s">
        <v>608</v>
      </c>
      <c r="P232" s="28" t="s">
        <v>8711</v>
      </c>
      <c r="Q232" s="196" t="s">
        <v>6461</v>
      </c>
    </row>
    <row r="233" customFormat="false" ht="86.25" hidden="false" customHeight="true" outlineLevel="0" collapsed="false">
      <c r="A233" s="224" t="s">
        <v>8210</v>
      </c>
      <c r="B233" s="224" t="s">
        <v>6311</v>
      </c>
      <c r="C233" s="237" t="s">
        <v>9911</v>
      </c>
      <c r="D233" s="224" t="s">
        <v>9912</v>
      </c>
      <c r="E233" s="224" t="s">
        <v>9567</v>
      </c>
      <c r="F233" s="236" t="s">
        <v>9913</v>
      </c>
      <c r="G233" s="224" t="s">
        <v>608</v>
      </c>
      <c r="H233" s="224" t="s">
        <v>9914</v>
      </c>
      <c r="I233" s="236" t="s">
        <v>9915</v>
      </c>
      <c r="J233" s="224" t="s">
        <v>6308</v>
      </c>
      <c r="K233" s="237" t="s">
        <v>9916</v>
      </c>
      <c r="L233" s="196" t="s">
        <v>8557</v>
      </c>
      <c r="M233" s="6" t="s">
        <v>8204</v>
      </c>
      <c r="N233" s="28" t="s">
        <v>608</v>
      </c>
      <c r="O233" s="28" t="s">
        <v>9917</v>
      </c>
      <c r="P233" s="28" t="s">
        <v>8711</v>
      </c>
      <c r="Q233" s="196" t="s">
        <v>6461</v>
      </c>
    </row>
    <row r="234" customFormat="false" ht="86.25" hidden="false" customHeight="true" outlineLevel="0" collapsed="false">
      <c r="A234" s="224" t="s">
        <v>9918</v>
      </c>
      <c r="B234" s="224" t="s">
        <v>6311</v>
      </c>
      <c r="C234" s="233" t="s">
        <v>9919</v>
      </c>
      <c r="D234" s="224" t="s">
        <v>9920</v>
      </c>
      <c r="E234" s="224" t="s">
        <v>9567</v>
      </c>
      <c r="F234" s="236" t="s">
        <v>9921</v>
      </c>
      <c r="G234" s="224" t="s">
        <v>608</v>
      </c>
      <c r="H234" s="224" t="s">
        <v>9922</v>
      </c>
      <c r="I234" s="236" t="s">
        <v>9923</v>
      </c>
      <c r="J234" s="224" t="s">
        <v>6308</v>
      </c>
      <c r="K234" s="233" t="s">
        <v>9924</v>
      </c>
      <c r="L234" s="196" t="s">
        <v>8557</v>
      </c>
      <c r="M234" s="6" t="s">
        <v>608</v>
      </c>
      <c r="N234" s="28" t="s">
        <v>608</v>
      </c>
      <c r="O234" s="28" t="s">
        <v>608</v>
      </c>
      <c r="P234" s="28" t="s">
        <v>8711</v>
      </c>
      <c r="Q234" s="196" t="s">
        <v>9925</v>
      </c>
    </row>
    <row r="235" customFormat="false" ht="86.25" hidden="false" customHeight="true" outlineLevel="0" collapsed="false">
      <c r="A235" s="224" t="s">
        <v>8218</v>
      </c>
      <c r="B235" s="224" t="s">
        <v>6311</v>
      </c>
      <c r="C235" s="233" t="s">
        <v>9926</v>
      </c>
      <c r="D235" s="224" t="s">
        <v>9927</v>
      </c>
      <c r="E235" s="224" t="s">
        <v>9567</v>
      </c>
      <c r="F235" s="224" t="s">
        <v>9928</v>
      </c>
      <c r="G235" s="224" t="s">
        <v>608</v>
      </c>
      <c r="H235" s="224" t="s">
        <v>9929</v>
      </c>
      <c r="I235" s="236" t="s">
        <v>9930</v>
      </c>
      <c r="J235" s="224" t="s">
        <v>6308</v>
      </c>
      <c r="K235" s="237" t="s">
        <v>9931</v>
      </c>
      <c r="L235" s="196" t="s">
        <v>8557</v>
      </c>
      <c r="M235" s="6" t="s">
        <v>8213</v>
      </c>
      <c r="N235" s="28" t="s">
        <v>608</v>
      </c>
      <c r="O235" s="28" t="s">
        <v>608</v>
      </c>
      <c r="P235" s="28" t="s">
        <v>8711</v>
      </c>
      <c r="Q235" s="196" t="s">
        <v>6461</v>
      </c>
    </row>
    <row r="236" customFormat="false" ht="86.25" hidden="false" customHeight="true" outlineLevel="0" collapsed="false">
      <c r="A236" s="224" t="s">
        <v>8228</v>
      </c>
      <c r="B236" s="224" t="s">
        <v>6311</v>
      </c>
      <c r="C236" s="233" t="s">
        <v>9932</v>
      </c>
      <c r="D236" s="224" t="s">
        <v>9933</v>
      </c>
      <c r="E236" s="224" t="s">
        <v>9702</v>
      </c>
      <c r="F236" s="236" t="s">
        <v>9934</v>
      </c>
      <c r="G236" s="224" t="s">
        <v>608</v>
      </c>
      <c r="H236" s="224" t="s">
        <v>9935</v>
      </c>
      <c r="I236" s="236" t="s">
        <v>9936</v>
      </c>
      <c r="J236" s="224" t="s">
        <v>6308</v>
      </c>
      <c r="K236" s="237" t="s">
        <v>9937</v>
      </c>
      <c r="L236" s="196" t="s">
        <v>8557</v>
      </c>
      <c r="M236" s="6" t="s">
        <v>8221</v>
      </c>
      <c r="N236" s="28" t="s">
        <v>608</v>
      </c>
      <c r="O236" s="28" t="s">
        <v>608</v>
      </c>
      <c r="P236" s="28" t="s">
        <v>8736</v>
      </c>
      <c r="Q236" s="196" t="s">
        <v>6568</v>
      </c>
    </row>
    <row r="237" customFormat="false" ht="86.25" hidden="false" customHeight="true" outlineLevel="0" collapsed="false">
      <c r="A237" s="224" t="s">
        <v>9938</v>
      </c>
      <c r="B237" s="224" t="s">
        <v>6311</v>
      </c>
      <c r="C237" s="233" t="s">
        <v>9939</v>
      </c>
      <c r="D237" s="224" t="s">
        <v>9940</v>
      </c>
      <c r="E237" s="224" t="s">
        <v>9702</v>
      </c>
      <c r="F237" s="236" t="s">
        <v>9941</v>
      </c>
      <c r="G237" s="224" t="s">
        <v>9942</v>
      </c>
      <c r="H237" s="224" t="s">
        <v>9943</v>
      </c>
      <c r="I237" s="236" t="s">
        <v>9944</v>
      </c>
      <c r="J237" s="224" t="s">
        <v>6308</v>
      </c>
      <c r="K237" s="233" t="s">
        <v>9945</v>
      </c>
      <c r="L237" s="196" t="s">
        <v>8557</v>
      </c>
      <c r="M237" s="6" t="s">
        <v>8105</v>
      </c>
      <c r="N237" s="28" t="s">
        <v>608</v>
      </c>
      <c r="O237" s="28" t="s">
        <v>608</v>
      </c>
      <c r="P237" s="28" t="s">
        <v>8736</v>
      </c>
      <c r="Q237" s="196" t="s">
        <v>6461</v>
      </c>
    </row>
    <row r="238" customFormat="false" ht="100.5" hidden="false" customHeight="true" outlineLevel="0" collapsed="false">
      <c r="A238" s="224" t="s">
        <v>8235</v>
      </c>
      <c r="B238" s="224" t="s">
        <v>6311</v>
      </c>
      <c r="C238" s="233" t="s">
        <v>9946</v>
      </c>
      <c r="D238" s="224" t="s">
        <v>9947</v>
      </c>
      <c r="E238" s="224" t="s">
        <v>9567</v>
      </c>
      <c r="F238" s="236" t="s">
        <v>9948</v>
      </c>
      <c r="G238" s="224" t="s">
        <v>9949</v>
      </c>
      <c r="H238" s="224" t="s">
        <v>9950</v>
      </c>
      <c r="I238" s="236" t="s">
        <v>9951</v>
      </c>
      <c r="J238" s="224" t="s">
        <v>6308</v>
      </c>
      <c r="K238" s="237" t="s">
        <v>9952</v>
      </c>
      <c r="L238" s="196" t="s">
        <v>8557</v>
      </c>
      <c r="M238" s="6" t="s">
        <v>9953</v>
      </c>
      <c r="N238" s="28" t="s">
        <v>608</v>
      </c>
      <c r="O238" s="28" t="s">
        <v>608</v>
      </c>
      <c r="P238" s="28" t="s">
        <v>8711</v>
      </c>
      <c r="Q238" s="196" t="s">
        <v>6461</v>
      </c>
    </row>
    <row r="239" customFormat="false" ht="86.25" hidden="false" customHeight="true" outlineLevel="0" collapsed="false">
      <c r="A239" s="224" t="s">
        <v>8242</v>
      </c>
      <c r="B239" s="224" t="s">
        <v>6311</v>
      </c>
      <c r="C239" s="233" t="s">
        <v>9954</v>
      </c>
      <c r="D239" s="224" t="s">
        <v>9701</v>
      </c>
      <c r="E239" s="224" t="s">
        <v>9702</v>
      </c>
      <c r="F239" s="224" t="s">
        <v>9955</v>
      </c>
      <c r="G239" s="224" t="s">
        <v>9956</v>
      </c>
      <c r="H239" s="224" t="s">
        <v>9957</v>
      </c>
      <c r="I239" s="236" t="s">
        <v>9958</v>
      </c>
      <c r="J239" s="224" t="s">
        <v>6308</v>
      </c>
      <c r="K239" s="237" t="s">
        <v>9959</v>
      </c>
      <c r="L239" s="196" t="s">
        <v>8557</v>
      </c>
      <c r="M239" s="6" t="s">
        <v>9960</v>
      </c>
      <c r="N239" s="28" t="s">
        <v>608</v>
      </c>
      <c r="O239" s="28" t="s">
        <v>608</v>
      </c>
      <c r="P239" s="28" t="s">
        <v>8736</v>
      </c>
      <c r="Q239" s="196" t="s">
        <v>6461</v>
      </c>
    </row>
    <row r="240" customFormat="false" ht="86.25" hidden="false" customHeight="true" outlineLevel="0" collapsed="false">
      <c r="A240" s="224" t="s">
        <v>9961</v>
      </c>
      <c r="B240" s="224" t="s">
        <v>6311</v>
      </c>
      <c r="C240" s="233" t="s">
        <v>9962</v>
      </c>
      <c r="D240" s="224" t="s">
        <v>9963</v>
      </c>
      <c r="E240" s="224" t="s">
        <v>9964</v>
      </c>
      <c r="F240" s="224" t="s">
        <v>9965</v>
      </c>
      <c r="G240" s="224" t="s">
        <v>9966</v>
      </c>
      <c r="H240" s="224" t="s">
        <v>9967</v>
      </c>
      <c r="I240" s="236" t="s">
        <v>9968</v>
      </c>
      <c r="J240" s="224" t="s">
        <v>6308</v>
      </c>
      <c r="K240" s="237" t="s">
        <v>9969</v>
      </c>
      <c r="L240" s="196" t="s">
        <v>8557</v>
      </c>
      <c r="M240" s="6" t="s">
        <v>7866</v>
      </c>
      <c r="N240" s="28" t="s">
        <v>608</v>
      </c>
      <c r="O240" s="28" t="s">
        <v>608</v>
      </c>
      <c r="P240" s="28" t="s">
        <v>8711</v>
      </c>
      <c r="Q240" s="196" t="s">
        <v>6461</v>
      </c>
    </row>
    <row r="241" customFormat="false" ht="100.5" hidden="false" customHeight="true" outlineLevel="0" collapsed="false">
      <c r="A241" s="224" t="s">
        <v>8250</v>
      </c>
      <c r="B241" s="224" t="s">
        <v>6311</v>
      </c>
      <c r="C241" s="233" t="s">
        <v>9970</v>
      </c>
      <c r="D241" s="224" t="s">
        <v>9971</v>
      </c>
      <c r="E241" s="224" t="s">
        <v>9567</v>
      </c>
      <c r="F241" s="224" t="s">
        <v>9972</v>
      </c>
      <c r="G241" s="224" t="s">
        <v>9973</v>
      </c>
      <c r="H241" s="224" t="s">
        <v>9974</v>
      </c>
      <c r="I241" s="236" t="s">
        <v>9975</v>
      </c>
      <c r="J241" s="224" t="s">
        <v>6308</v>
      </c>
      <c r="K241" s="237" t="s">
        <v>9976</v>
      </c>
      <c r="L241" s="196" t="s">
        <v>8557</v>
      </c>
      <c r="M241" s="6" t="s">
        <v>9977</v>
      </c>
      <c r="N241" s="28" t="s">
        <v>608</v>
      </c>
      <c r="O241" s="28" t="s">
        <v>9978</v>
      </c>
      <c r="P241" s="28" t="s">
        <v>8711</v>
      </c>
      <c r="Q241" s="196" t="s">
        <v>9979</v>
      </c>
    </row>
    <row r="242" customFormat="false" ht="100.5" hidden="false" customHeight="true" outlineLevel="0" collapsed="false">
      <c r="A242" s="224" t="s">
        <v>9980</v>
      </c>
      <c r="B242" s="224" t="s">
        <v>6311</v>
      </c>
      <c r="C242" s="233" t="s">
        <v>9981</v>
      </c>
      <c r="D242" s="224" t="s">
        <v>9982</v>
      </c>
      <c r="E242" s="224" t="s">
        <v>9567</v>
      </c>
      <c r="F242" s="236" t="s">
        <v>9983</v>
      </c>
      <c r="G242" s="224" t="s">
        <v>608</v>
      </c>
      <c r="H242" s="224" t="s">
        <v>9984</v>
      </c>
      <c r="I242" s="236" t="s">
        <v>9985</v>
      </c>
      <c r="J242" s="224" t="s">
        <v>6308</v>
      </c>
      <c r="K242" s="237" t="s">
        <v>9986</v>
      </c>
      <c r="L242" s="196" t="s">
        <v>8557</v>
      </c>
      <c r="M242" s="6" t="s">
        <v>8245</v>
      </c>
      <c r="N242" s="28" t="s">
        <v>608</v>
      </c>
      <c r="O242" s="28" t="s">
        <v>608</v>
      </c>
      <c r="P242" s="28" t="s">
        <v>8711</v>
      </c>
      <c r="Q242" s="196" t="s">
        <v>6461</v>
      </c>
    </row>
    <row r="243" customFormat="false" ht="86.25" hidden="false" customHeight="true" outlineLevel="0" collapsed="false">
      <c r="A243" s="224" t="s">
        <v>9987</v>
      </c>
      <c r="B243" s="224" t="s">
        <v>6311</v>
      </c>
      <c r="C243" s="233" t="s">
        <v>9988</v>
      </c>
      <c r="D243" s="224" t="s">
        <v>9989</v>
      </c>
      <c r="E243" s="224" t="s">
        <v>9990</v>
      </c>
      <c r="F243" s="224" t="s">
        <v>9907</v>
      </c>
      <c r="G243" s="224" t="s">
        <v>608</v>
      </c>
      <c r="H243" s="224" t="s">
        <v>9991</v>
      </c>
      <c r="I243" s="236" t="s">
        <v>9992</v>
      </c>
      <c r="J243" s="224" t="s">
        <v>6308</v>
      </c>
      <c r="K243" s="237" t="s">
        <v>9993</v>
      </c>
      <c r="L243" s="196" t="s">
        <v>8557</v>
      </c>
      <c r="M243" s="6" t="s">
        <v>608</v>
      </c>
      <c r="N243" s="28" t="s">
        <v>608</v>
      </c>
      <c r="O243" s="28" t="s">
        <v>608</v>
      </c>
      <c r="P243" s="28" t="s">
        <v>8687</v>
      </c>
      <c r="Q243" s="196" t="s">
        <v>6568</v>
      </c>
    </row>
    <row r="244" customFormat="false" ht="86.25" hidden="false" customHeight="true" outlineLevel="0" collapsed="false">
      <c r="A244" s="224" t="s">
        <v>9994</v>
      </c>
      <c r="B244" s="224" t="s">
        <v>6311</v>
      </c>
      <c r="C244" s="233" t="s">
        <v>9995</v>
      </c>
      <c r="D244" s="224" t="s">
        <v>9996</v>
      </c>
      <c r="E244" s="224" t="s">
        <v>9990</v>
      </c>
      <c r="F244" s="224" t="s">
        <v>9997</v>
      </c>
      <c r="G244" s="224" t="s">
        <v>608</v>
      </c>
      <c r="H244" s="224" t="s">
        <v>9998</v>
      </c>
      <c r="I244" s="236" t="s">
        <v>9999</v>
      </c>
      <c r="J244" s="224" t="s">
        <v>6308</v>
      </c>
      <c r="K244" s="237" t="s">
        <v>10000</v>
      </c>
      <c r="L244" s="196" t="s">
        <v>8557</v>
      </c>
      <c r="M244" s="6" t="s">
        <v>608</v>
      </c>
      <c r="N244" s="28" t="s">
        <v>608</v>
      </c>
      <c r="O244" s="28" t="s">
        <v>608</v>
      </c>
      <c r="P244" s="28" t="s">
        <v>8687</v>
      </c>
      <c r="Q244" s="196" t="s">
        <v>6568</v>
      </c>
    </row>
    <row r="245" customFormat="false" ht="86.25" hidden="false" customHeight="true" outlineLevel="0" collapsed="false">
      <c r="A245" s="224" t="s">
        <v>8257</v>
      </c>
      <c r="B245" s="224" t="s">
        <v>6311</v>
      </c>
      <c r="C245" s="233" t="s">
        <v>10001</v>
      </c>
      <c r="D245" s="224" t="s">
        <v>10002</v>
      </c>
      <c r="E245" s="224" t="s">
        <v>9737</v>
      </c>
      <c r="F245" s="236" t="s">
        <v>10003</v>
      </c>
      <c r="G245" s="224" t="s">
        <v>608</v>
      </c>
      <c r="H245" s="224" t="s">
        <v>10004</v>
      </c>
      <c r="I245" s="236" t="s">
        <v>10005</v>
      </c>
      <c r="J245" s="224" t="s">
        <v>6308</v>
      </c>
      <c r="K245" s="233" t="s">
        <v>10006</v>
      </c>
      <c r="L245" s="196" t="s">
        <v>8557</v>
      </c>
      <c r="M245" s="6" t="s">
        <v>10007</v>
      </c>
      <c r="N245" s="28" t="s">
        <v>608</v>
      </c>
      <c r="O245" s="28" t="s">
        <v>608</v>
      </c>
      <c r="P245" s="28" t="s">
        <v>9742</v>
      </c>
      <c r="Q245" s="196" t="s">
        <v>6461</v>
      </c>
    </row>
    <row r="246" customFormat="false" ht="86.25" hidden="false" customHeight="true" outlineLevel="0" collapsed="false">
      <c r="A246" s="224" t="s">
        <v>10008</v>
      </c>
      <c r="B246" s="224" t="s">
        <v>6311</v>
      </c>
      <c r="C246" s="233" t="s">
        <v>10009</v>
      </c>
      <c r="D246" s="224" t="s">
        <v>10010</v>
      </c>
      <c r="E246" s="224" t="s">
        <v>10011</v>
      </c>
      <c r="F246" s="236" t="s">
        <v>10012</v>
      </c>
      <c r="G246" s="224" t="s">
        <v>608</v>
      </c>
      <c r="H246" s="224" t="s">
        <v>10013</v>
      </c>
      <c r="I246" s="236" t="s">
        <v>10014</v>
      </c>
      <c r="J246" s="224" t="s">
        <v>6308</v>
      </c>
      <c r="K246" s="233" t="s">
        <v>10015</v>
      </c>
      <c r="L246" s="196" t="s">
        <v>8557</v>
      </c>
      <c r="M246" s="6" t="s">
        <v>608</v>
      </c>
      <c r="N246" s="28" t="s">
        <v>608</v>
      </c>
      <c r="O246" s="28" t="s">
        <v>608</v>
      </c>
      <c r="P246" s="28" t="s">
        <v>8711</v>
      </c>
      <c r="Q246" s="196" t="s">
        <v>9925</v>
      </c>
    </row>
    <row r="247" customFormat="false" ht="86.25" hidden="false" customHeight="true" outlineLevel="0" collapsed="false">
      <c r="A247" s="224" t="s">
        <v>10016</v>
      </c>
      <c r="B247" s="224" t="s">
        <v>6311</v>
      </c>
      <c r="C247" s="233" t="s">
        <v>10017</v>
      </c>
      <c r="D247" s="236" t="s">
        <v>10018</v>
      </c>
      <c r="E247" s="224" t="s">
        <v>608</v>
      </c>
      <c r="F247" s="224" t="s">
        <v>10019</v>
      </c>
      <c r="G247" s="224" t="s">
        <v>10020</v>
      </c>
      <c r="H247" s="236" t="s">
        <v>10021</v>
      </c>
      <c r="I247" s="236" t="s">
        <v>10022</v>
      </c>
      <c r="J247" s="224" t="s">
        <v>6308</v>
      </c>
      <c r="K247" s="237" t="s">
        <v>10023</v>
      </c>
      <c r="L247" s="196" t="s">
        <v>8557</v>
      </c>
      <c r="M247" s="6" t="s">
        <v>608</v>
      </c>
      <c r="N247" s="28" t="s">
        <v>608</v>
      </c>
      <c r="O247" s="28" t="s">
        <v>608</v>
      </c>
      <c r="P247" s="28" t="s">
        <v>608</v>
      </c>
      <c r="Q247" s="28" t="s">
        <v>608</v>
      </c>
    </row>
    <row r="248" customFormat="false" ht="86.25" hidden="false" customHeight="true" outlineLevel="0" collapsed="false">
      <c r="A248" s="224" t="s">
        <v>10024</v>
      </c>
      <c r="B248" s="224" t="s">
        <v>6311</v>
      </c>
      <c r="C248" s="237" t="s">
        <v>10025</v>
      </c>
      <c r="D248" s="224" t="s">
        <v>10026</v>
      </c>
      <c r="E248" s="224" t="s">
        <v>608</v>
      </c>
      <c r="F248" s="224" t="s">
        <v>10027</v>
      </c>
      <c r="G248" s="224" t="s">
        <v>608</v>
      </c>
      <c r="H248" s="224" t="s">
        <v>608</v>
      </c>
      <c r="I248" s="236" t="s">
        <v>10028</v>
      </c>
      <c r="J248" s="224" t="s">
        <v>6308</v>
      </c>
      <c r="K248" s="237" t="s">
        <v>10029</v>
      </c>
      <c r="L248" s="196" t="s">
        <v>8557</v>
      </c>
      <c r="M248" s="6" t="s">
        <v>608</v>
      </c>
      <c r="N248" s="28" t="s">
        <v>608</v>
      </c>
      <c r="O248" s="28" t="s">
        <v>608</v>
      </c>
      <c r="P248" s="28" t="s">
        <v>608</v>
      </c>
      <c r="Q248" s="28" t="s">
        <v>608</v>
      </c>
    </row>
    <row r="249" customFormat="false" ht="114.75" hidden="false" customHeight="true" outlineLevel="0" collapsed="false">
      <c r="A249" s="224" t="s">
        <v>8283</v>
      </c>
      <c r="B249" s="224" t="s">
        <v>6351</v>
      </c>
      <c r="C249" s="233" t="s">
        <v>10030</v>
      </c>
      <c r="D249" s="224" t="s">
        <v>10031</v>
      </c>
      <c r="E249" s="224" t="s">
        <v>10032</v>
      </c>
      <c r="F249" s="224" t="s">
        <v>10033</v>
      </c>
      <c r="G249" s="224" t="s">
        <v>608</v>
      </c>
      <c r="H249" s="224" t="s">
        <v>10034</v>
      </c>
      <c r="I249" s="236" t="s">
        <v>10035</v>
      </c>
      <c r="J249" s="224" t="s">
        <v>6348</v>
      </c>
      <c r="K249" s="237" t="s">
        <v>10036</v>
      </c>
      <c r="L249" s="196" t="s">
        <v>8557</v>
      </c>
      <c r="M249" s="6" t="s">
        <v>8280</v>
      </c>
      <c r="N249" s="28" t="s">
        <v>608</v>
      </c>
      <c r="O249" s="28" t="s">
        <v>608</v>
      </c>
      <c r="P249" s="28" t="s">
        <v>8711</v>
      </c>
      <c r="Q249" s="196" t="s">
        <v>6461</v>
      </c>
    </row>
    <row r="250" customFormat="false" ht="114.75" hidden="false" customHeight="true" outlineLevel="0" collapsed="false">
      <c r="A250" s="224" t="s">
        <v>10037</v>
      </c>
      <c r="B250" s="224" t="s">
        <v>6351</v>
      </c>
      <c r="C250" s="233" t="s">
        <v>10038</v>
      </c>
      <c r="D250" s="224" t="s">
        <v>10039</v>
      </c>
      <c r="E250" s="224" t="s">
        <v>10032</v>
      </c>
      <c r="F250" s="224" t="s">
        <v>10040</v>
      </c>
      <c r="G250" s="224" t="s">
        <v>10041</v>
      </c>
      <c r="H250" s="224" t="s">
        <v>10042</v>
      </c>
      <c r="I250" s="236" t="s">
        <v>10043</v>
      </c>
      <c r="J250" s="224" t="s">
        <v>6348</v>
      </c>
      <c r="K250" s="237" t="s">
        <v>10044</v>
      </c>
      <c r="L250" s="196" t="s">
        <v>8557</v>
      </c>
      <c r="M250" s="6" t="s">
        <v>5617</v>
      </c>
      <c r="N250" s="28" t="s">
        <v>608</v>
      </c>
      <c r="O250" s="28" t="s">
        <v>608</v>
      </c>
      <c r="P250" s="28" t="s">
        <v>8711</v>
      </c>
      <c r="Q250" s="196" t="s">
        <v>6461</v>
      </c>
    </row>
    <row r="251" customFormat="false" ht="114.75" hidden="false" customHeight="true" outlineLevel="0" collapsed="false">
      <c r="A251" s="224" t="s">
        <v>8292</v>
      </c>
      <c r="B251" s="224" t="s">
        <v>6351</v>
      </c>
      <c r="C251" s="233" t="s">
        <v>10045</v>
      </c>
      <c r="D251" s="224" t="s">
        <v>10046</v>
      </c>
      <c r="E251" s="224" t="s">
        <v>10047</v>
      </c>
      <c r="F251" s="224" t="s">
        <v>10048</v>
      </c>
      <c r="G251" s="224" t="s">
        <v>10049</v>
      </c>
      <c r="H251" s="224" t="s">
        <v>10050</v>
      </c>
      <c r="I251" s="236" t="s">
        <v>10051</v>
      </c>
      <c r="J251" s="224" t="s">
        <v>6348</v>
      </c>
      <c r="K251" s="237" t="s">
        <v>10052</v>
      </c>
      <c r="L251" s="196" t="s">
        <v>8557</v>
      </c>
      <c r="M251" s="6" t="s">
        <v>8287</v>
      </c>
      <c r="N251" s="28" t="s">
        <v>608</v>
      </c>
      <c r="O251" s="28" t="s">
        <v>608</v>
      </c>
      <c r="P251" s="28" t="s">
        <v>8687</v>
      </c>
      <c r="Q251" s="196" t="s">
        <v>6461</v>
      </c>
    </row>
    <row r="252" customFormat="false" ht="114.75" hidden="false" customHeight="true" outlineLevel="0" collapsed="false">
      <c r="A252" s="224" t="s">
        <v>8299</v>
      </c>
      <c r="B252" s="224" t="s">
        <v>6351</v>
      </c>
      <c r="C252" s="233" t="s">
        <v>10053</v>
      </c>
      <c r="D252" s="224" t="s">
        <v>10054</v>
      </c>
      <c r="E252" s="236" t="s">
        <v>10055</v>
      </c>
      <c r="F252" s="224" t="s">
        <v>10056</v>
      </c>
      <c r="G252" s="224" t="s">
        <v>10057</v>
      </c>
      <c r="H252" s="224" t="s">
        <v>10058</v>
      </c>
      <c r="I252" s="236" t="s">
        <v>10059</v>
      </c>
      <c r="J252" s="224" t="s">
        <v>6348</v>
      </c>
      <c r="K252" s="237" t="s">
        <v>10060</v>
      </c>
      <c r="L252" s="196" t="s">
        <v>8557</v>
      </c>
      <c r="M252" s="6" t="s">
        <v>5572</v>
      </c>
      <c r="N252" s="28" t="s">
        <v>608</v>
      </c>
      <c r="O252" s="28" t="s">
        <v>10061</v>
      </c>
      <c r="P252" s="28" t="s">
        <v>8687</v>
      </c>
      <c r="Q252" s="196" t="s">
        <v>6461</v>
      </c>
    </row>
    <row r="253" customFormat="false" ht="114.75" hidden="false" customHeight="true" outlineLevel="0" collapsed="false">
      <c r="A253" s="224" t="s">
        <v>10062</v>
      </c>
      <c r="B253" s="224" t="s">
        <v>6351</v>
      </c>
      <c r="C253" s="233" t="s">
        <v>10063</v>
      </c>
      <c r="D253" s="224" t="s">
        <v>10064</v>
      </c>
      <c r="E253" s="224" t="s">
        <v>9567</v>
      </c>
      <c r="F253" s="224" t="s">
        <v>10065</v>
      </c>
      <c r="G253" s="224" t="s">
        <v>608</v>
      </c>
      <c r="H253" s="236" t="s">
        <v>10066</v>
      </c>
      <c r="I253" s="236" t="s">
        <v>10067</v>
      </c>
      <c r="J253" s="224" t="s">
        <v>6348</v>
      </c>
      <c r="K253" s="237" t="s">
        <v>10068</v>
      </c>
      <c r="L253" s="196" t="s">
        <v>8557</v>
      </c>
      <c r="M253" s="6" t="s">
        <v>5624</v>
      </c>
      <c r="N253" s="28" t="s">
        <v>608</v>
      </c>
      <c r="O253" s="28" t="s">
        <v>608</v>
      </c>
      <c r="P253" s="28" t="s">
        <v>8711</v>
      </c>
      <c r="Q253" s="196" t="s">
        <v>6461</v>
      </c>
    </row>
    <row r="254" customFormat="false" ht="129" hidden="false" customHeight="true" outlineLevel="0" collapsed="false">
      <c r="A254" s="224" t="s">
        <v>10069</v>
      </c>
      <c r="B254" s="224" t="s">
        <v>6351</v>
      </c>
      <c r="C254" s="233" t="s">
        <v>10070</v>
      </c>
      <c r="D254" s="224" t="s">
        <v>10071</v>
      </c>
      <c r="E254" s="224" t="s">
        <v>10072</v>
      </c>
      <c r="F254" s="224" t="s">
        <v>10073</v>
      </c>
      <c r="G254" s="224" t="s">
        <v>608</v>
      </c>
      <c r="H254" s="224" t="s">
        <v>10074</v>
      </c>
      <c r="I254" s="236" t="s">
        <v>10075</v>
      </c>
      <c r="J254" s="224" t="s">
        <v>6348</v>
      </c>
      <c r="K254" s="237" t="s">
        <v>10076</v>
      </c>
      <c r="L254" s="196" t="s">
        <v>8557</v>
      </c>
      <c r="M254" s="6" t="s">
        <v>608</v>
      </c>
      <c r="N254" s="28" t="s">
        <v>608</v>
      </c>
      <c r="O254" s="28" t="s">
        <v>608</v>
      </c>
      <c r="P254" s="28" t="s">
        <v>8687</v>
      </c>
      <c r="Q254" s="196" t="s">
        <v>6461</v>
      </c>
    </row>
    <row r="255" customFormat="false" ht="114.75" hidden="false" customHeight="true" outlineLevel="0" collapsed="false">
      <c r="A255" s="224" t="s">
        <v>10077</v>
      </c>
      <c r="B255" s="224" t="s">
        <v>6351</v>
      </c>
      <c r="C255" s="233" t="s">
        <v>10078</v>
      </c>
      <c r="D255" s="236" t="s">
        <v>10079</v>
      </c>
      <c r="E255" s="236" t="s">
        <v>10080</v>
      </c>
      <c r="F255" s="236" t="s">
        <v>10081</v>
      </c>
      <c r="G255" s="224" t="s">
        <v>608</v>
      </c>
      <c r="H255" s="224" t="s">
        <v>10082</v>
      </c>
      <c r="I255" s="236" t="s">
        <v>10083</v>
      </c>
      <c r="J255" s="224" t="s">
        <v>6348</v>
      </c>
      <c r="K255" s="237" t="s">
        <v>10084</v>
      </c>
      <c r="L255" s="196" t="s">
        <v>8557</v>
      </c>
      <c r="M255" s="6" t="s">
        <v>608</v>
      </c>
      <c r="N255" s="28" t="s">
        <v>608</v>
      </c>
      <c r="O255" s="28" t="s">
        <v>608</v>
      </c>
      <c r="P255" s="28" t="s">
        <v>8687</v>
      </c>
      <c r="Q255" s="196" t="s">
        <v>10085</v>
      </c>
    </row>
    <row r="256" customFormat="false" ht="114.75" hidden="false" customHeight="true" outlineLevel="0" collapsed="false">
      <c r="A256" s="224" t="s">
        <v>10086</v>
      </c>
      <c r="B256" s="224" t="s">
        <v>6351</v>
      </c>
      <c r="C256" s="233" t="s">
        <v>10087</v>
      </c>
      <c r="D256" s="224" t="s">
        <v>10088</v>
      </c>
      <c r="E256" s="224" t="s">
        <v>9567</v>
      </c>
      <c r="F256" s="224" t="s">
        <v>10089</v>
      </c>
      <c r="G256" s="224" t="s">
        <v>10090</v>
      </c>
      <c r="H256" s="224" t="s">
        <v>10091</v>
      </c>
      <c r="I256" s="236" t="s">
        <v>10092</v>
      </c>
      <c r="J256" s="224" t="s">
        <v>6348</v>
      </c>
      <c r="K256" s="237" t="s">
        <v>10093</v>
      </c>
      <c r="L256" s="196" t="s">
        <v>8557</v>
      </c>
      <c r="M256" s="6" t="s">
        <v>8231</v>
      </c>
      <c r="N256" s="28" t="s">
        <v>608</v>
      </c>
      <c r="O256" s="28" t="s">
        <v>608</v>
      </c>
      <c r="P256" s="28" t="s">
        <v>8711</v>
      </c>
      <c r="Q256" s="196" t="s">
        <v>6461</v>
      </c>
    </row>
    <row r="257" customFormat="false" ht="114.75" hidden="false" customHeight="true" outlineLevel="0" collapsed="false">
      <c r="A257" s="224" t="s">
        <v>10094</v>
      </c>
      <c r="B257" s="224" t="s">
        <v>6351</v>
      </c>
      <c r="C257" s="237" t="s">
        <v>10095</v>
      </c>
      <c r="D257" s="224" t="s">
        <v>10096</v>
      </c>
      <c r="E257" s="224" t="s">
        <v>10097</v>
      </c>
      <c r="F257" s="224" t="s">
        <v>10098</v>
      </c>
      <c r="G257" s="224" t="s">
        <v>10099</v>
      </c>
      <c r="H257" s="224" t="s">
        <v>10100</v>
      </c>
      <c r="I257" s="236" t="s">
        <v>10101</v>
      </c>
      <c r="J257" s="224" t="s">
        <v>6348</v>
      </c>
      <c r="K257" s="237" t="s">
        <v>10102</v>
      </c>
      <c r="L257" s="196" t="s">
        <v>8557</v>
      </c>
      <c r="M257" s="6" t="s">
        <v>608</v>
      </c>
      <c r="N257" s="28" t="s">
        <v>608</v>
      </c>
      <c r="O257" s="28" t="s">
        <v>10103</v>
      </c>
      <c r="P257" s="28" t="s">
        <v>8687</v>
      </c>
      <c r="Q257" s="196" t="s">
        <v>6461</v>
      </c>
    </row>
    <row r="258" customFormat="false" ht="114.75" hidden="false" customHeight="true" outlineLevel="0" collapsed="false">
      <c r="A258" s="224" t="s">
        <v>10104</v>
      </c>
      <c r="B258" s="224" t="s">
        <v>6351</v>
      </c>
      <c r="C258" s="233" t="s">
        <v>10105</v>
      </c>
      <c r="D258" s="236" t="s">
        <v>10106</v>
      </c>
      <c r="E258" s="224" t="s">
        <v>608</v>
      </c>
      <c r="F258" s="236" t="s">
        <v>10107</v>
      </c>
      <c r="G258" s="224" t="s">
        <v>608</v>
      </c>
      <c r="H258" s="236" t="s">
        <v>10021</v>
      </c>
      <c r="I258" s="236" t="s">
        <v>10108</v>
      </c>
      <c r="J258" s="224" t="s">
        <v>6348</v>
      </c>
      <c r="K258" s="237" t="s">
        <v>10109</v>
      </c>
      <c r="L258" s="196" t="s">
        <v>8557</v>
      </c>
      <c r="M258" s="6" t="s">
        <v>608</v>
      </c>
      <c r="N258" s="28" t="s">
        <v>608</v>
      </c>
      <c r="O258" s="28" t="s">
        <v>608</v>
      </c>
      <c r="P258" s="28" t="s">
        <v>608</v>
      </c>
      <c r="Q258" s="28" t="s">
        <v>608</v>
      </c>
    </row>
    <row r="259" customFormat="false" ht="114.75" hidden="false" customHeight="true" outlineLevel="0" collapsed="false">
      <c r="A259" s="224" t="s">
        <v>10110</v>
      </c>
      <c r="B259" s="224" t="s">
        <v>6351</v>
      </c>
      <c r="C259" s="237" t="s">
        <v>10111</v>
      </c>
      <c r="D259" s="236" t="s">
        <v>10112</v>
      </c>
      <c r="E259" s="224" t="s">
        <v>608</v>
      </c>
      <c r="F259" s="236" t="s">
        <v>10113</v>
      </c>
      <c r="G259" s="224" t="s">
        <v>608</v>
      </c>
      <c r="H259" s="236" t="s">
        <v>10021</v>
      </c>
      <c r="I259" s="236" t="s">
        <v>10114</v>
      </c>
      <c r="J259" s="224" t="s">
        <v>6348</v>
      </c>
      <c r="K259" s="237" t="s">
        <v>10115</v>
      </c>
      <c r="L259" s="196" t="s">
        <v>8557</v>
      </c>
      <c r="M259" s="6" t="s">
        <v>8105</v>
      </c>
      <c r="N259" s="28" t="s">
        <v>608</v>
      </c>
      <c r="O259" s="28" t="s">
        <v>608</v>
      </c>
      <c r="P259" s="28" t="s">
        <v>608</v>
      </c>
      <c r="Q259" s="28" t="s">
        <v>608</v>
      </c>
    </row>
    <row r="260" customFormat="false" ht="114.75" hidden="false" customHeight="true" outlineLevel="0" collapsed="false">
      <c r="A260" s="224" t="s">
        <v>10116</v>
      </c>
      <c r="B260" s="224" t="s">
        <v>6351</v>
      </c>
      <c r="C260" s="233" t="s">
        <v>10117</v>
      </c>
      <c r="D260" s="236" t="s">
        <v>10118</v>
      </c>
      <c r="E260" s="224" t="s">
        <v>10119</v>
      </c>
      <c r="F260" s="224" t="s">
        <v>10120</v>
      </c>
      <c r="G260" s="224" t="s">
        <v>608</v>
      </c>
      <c r="H260" s="236" t="s">
        <v>10121</v>
      </c>
      <c r="I260" s="236" t="s">
        <v>10122</v>
      </c>
      <c r="J260" s="224" t="s">
        <v>6348</v>
      </c>
      <c r="K260" s="237" t="s">
        <v>10123</v>
      </c>
      <c r="L260" s="196" t="s">
        <v>8557</v>
      </c>
      <c r="M260" s="6" t="s">
        <v>608</v>
      </c>
      <c r="N260" s="28" t="s">
        <v>608</v>
      </c>
      <c r="O260" s="28" t="s">
        <v>10124</v>
      </c>
      <c r="P260" s="28" t="s">
        <v>608</v>
      </c>
      <c r="Q260" s="196" t="s">
        <v>6568</v>
      </c>
    </row>
    <row r="261" customFormat="false" ht="114.75" hidden="false" customHeight="true" outlineLevel="0" collapsed="false">
      <c r="A261" s="224" t="s">
        <v>10125</v>
      </c>
      <c r="B261" s="224" t="s">
        <v>6351</v>
      </c>
      <c r="C261" s="233" t="s">
        <v>10126</v>
      </c>
      <c r="D261" s="224" t="s">
        <v>10127</v>
      </c>
      <c r="E261" s="224" t="s">
        <v>10128</v>
      </c>
      <c r="F261" s="224" t="s">
        <v>10129</v>
      </c>
      <c r="G261" s="224" t="s">
        <v>10130</v>
      </c>
      <c r="H261" s="224" t="s">
        <v>10131</v>
      </c>
      <c r="I261" s="236" t="s">
        <v>10132</v>
      </c>
      <c r="J261" s="224" t="s">
        <v>6348</v>
      </c>
      <c r="K261" s="237" t="s">
        <v>10133</v>
      </c>
      <c r="L261" s="196" t="s">
        <v>8557</v>
      </c>
      <c r="M261" s="6" t="s">
        <v>10134</v>
      </c>
      <c r="N261" s="28" t="s">
        <v>608</v>
      </c>
      <c r="O261" s="28" t="s">
        <v>608</v>
      </c>
      <c r="P261" s="28" t="s">
        <v>8711</v>
      </c>
      <c r="Q261" s="196" t="s">
        <v>6461</v>
      </c>
    </row>
    <row r="262" customFormat="false" ht="114.75" hidden="false" customHeight="true" outlineLevel="0" collapsed="false">
      <c r="A262" s="224" t="s">
        <v>10135</v>
      </c>
      <c r="B262" s="224" t="s">
        <v>6351</v>
      </c>
      <c r="C262" s="233" t="s">
        <v>10136</v>
      </c>
      <c r="D262" s="224" t="s">
        <v>10137</v>
      </c>
      <c r="E262" s="236" t="s">
        <v>10138</v>
      </c>
      <c r="F262" s="224" t="s">
        <v>10139</v>
      </c>
      <c r="G262" s="224" t="s">
        <v>608</v>
      </c>
      <c r="H262" s="236" t="s">
        <v>10140</v>
      </c>
      <c r="I262" s="236" t="s">
        <v>10141</v>
      </c>
      <c r="J262" s="224" t="s">
        <v>6382</v>
      </c>
      <c r="K262" s="237" t="s">
        <v>10142</v>
      </c>
      <c r="L262" s="196" t="s">
        <v>8557</v>
      </c>
      <c r="M262" s="6" t="s">
        <v>10143</v>
      </c>
      <c r="N262" s="28" t="s">
        <v>608</v>
      </c>
      <c r="O262" s="28" t="s">
        <v>10144</v>
      </c>
      <c r="P262" s="28" t="s">
        <v>8687</v>
      </c>
      <c r="Q262" s="196" t="s">
        <v>6461</v>
      </c>
    </row>
    <row r="263" customFormat="false" ht="114.75" hidden="false" customHeight="true" outlineLevel="0" collapsed="false">
      <c r="A263" s="224" t="s">
        <v>10145</v>
      </c>
      <c r="B263" s="224" t="s">
        <v>6351</v>
      </c>
      <c r="C263" s="233" t="s">
        <v>10146</v>
      </c>
      <c r="D263" s="224" t="s">
        <v>10147</v>
      </c>
      <c r="E263" s="236" t="s">
        <v>10148</v>
      </c>
      <c r="F263" s="224" t="s">
        <v>10149</v>
      </c>
      <c r="G263" s="224" t="s">
        <v>608</v>
      </c>
      <c r="H263" s="236" t="s">
        <v>10150</v>
      </c>
      <c r="I263" s="236" t="s">
        <v>10151</v>
      </c>
      <c r="J263" s="224" t="s">
        <v>6382</v>
      </c>
      <c r="K263" s="233" t="s">
        <v>10152</v>
      </c>
      <c r="L263" s="196" t="s">
        <v>8557</v>
      </c>
      <c r="M263" s="6" t="s">
        <v>608</v>
      </c>
      <c r="N263" s="28" t="s">
        <v>608</v>
      </c>
      <c r="O263" s="28" t="s">
        <v>10144</v>
      </c>
      <c r="P263" s="28" t="s">
        <v>8687</v>
      </c>
      <c r="Q263" s="196" t="s">
        <v>6461</v>
      </c>
    </row>
    <row r="264" customFormat="false" ht="114.75" hidden="false" customHeight="true" outlineLevel="0" collapsed="false">
      <c r="A264" s="224" t="s">
        <v>10153</v>
      </c>
      <c r="B264" s="224" t="s">
        <v>6351</v>
      </c>
      <c r="C264" s="233" t="s">
        <v>10154</v>
      </c>
      <c r="D264" s="224" t="s">
        <v>10155</v>
      </c>
      <c r="E264" s="236" t="s">
        <v>10156</v>
      </c>
      <c r="F264" s="224" t="s">
        <v>10157</v>
      </c>
      <c r="G264" s="224" t="s">
        <v>608</v>
      </c>
      <c r="H264" s="236" t="s">
        <v>10140</v>
      </c>
      <c r="I264" s="236" t="s">
        <v>10158</v>
      </c>
      <c r="J264" s="224" t="s">
        <v>6382</v>
      </c>
      <c r="K264" s="237" t="s">
        <v>10159</v>
      </c>
      <c r="L264" s="196" t="s">
        <v>8557</v>
      </c>
      <c r="M264" s="6" t="s">
        <v>608</v>
      </c>
      <c r="N264" s="28" t="s">
        <v>608</v>
      </c>
      <c r="O264" s="28" t="s">
        <v>10144</v>
      </c>
      <c r="P264" s="28" t="s">
        <v>8687</v>
      </c>
      <c r="Q264" s="196" t="s">
        <v>10085</v>
      </c>
    </row>
    <row r="265" customFormat="false" ht="114.75" hidden="false" customHeight="true" outlineLevel="0" collapsed="false">
      <c r="A265" s="224" t="s">
        <v>10160</v>
      </c>
      <c r="B265" s="224" t="s">
        <v>6351</v>
      </c>
      <c r="C265" s="233" t="s">
        <v>10161</v>
      </c>
      <c r="D265" s="236" t="s">
        <v>10162</v>
      </c>
      <c r="E265" s="224" t="s">
        <v>10119</v>
      </c>
      <c r="F265" s="224" t="s">
        <v>10163</v>
      </c>
      <c r="G265" s="224" t="s">
        <v>608</v>
      </c>
      <c r="H265" s="224" t="s">
        <v>10164</v>
      </c>
      <c r="I265" s="236" t="s">
        <v>10165</v>
      </c>
      <c r="J265" s="224" t="s">
        <v>6382</v>
      </c>
      <c r="K265" s="237" t="s">
        <v>10166</v>
      </c>
      <c r="L265" s="196" t="s">
        <v>8557</v>
      </c>
      <c r="M265" s="6" t="s">
        <v>608</v>
      </c>
      <c r="N265" s="28" t="s">
        <v>608</v>
      </c>
      <c r="O265" s="28" t="s">
        <v>10144</v>
      </c>
      <c r="P265" s="28" t="s">
        <v>608</v>
      </c>
      <c r="Q265" s="196" t="s">
        <v>6568</v>
      </c>
    </row>
    <row r="266" customFormat="false" ht="114.75" hidden="false" customHeight="true" outlineLevel="0" collapsed="false">
      <c r="A266" s="224" t="s">
        <v>10167</v>
      </c>
      <c r="B266" s="224" t="s">
        <v>6351</v>
      </c>
      <c r="C266" s="233" t="s">
        <v>10168</v>
      </c>
      <c r="D266" s="236" t="s">
        <v>10169</v>
      </c>
      <c r="E266" s="224" t="s">
        <v>10119</v>
      </c>
      <c r="F266" s="224" t="s">
        <v>10170</v>
      </c>
      <c r="G266" s="224" t="s">
        <v>608</v>
      </c>
      <c r="H266" s="236" t="s">
        <v>10171</v>
      </c>
      <c r="I266" s="236" t="s">
        <v>10172</v>
      </c>
      <c r="J266" s="224" t="s">
        <v>6382</v>
      </c>
      <c r="K266" s="237" t="s">
        <v>10173</v>
      </c>
      <c r="L266" s="196" t="s">
        <v>8557</v>
      </c>
      <c r="M266" s="6" t="s">
        <v>608</v>
      </c>
      <c r="N266" s="28" t="s">
        <v>608</v>
      </c>
      <c r="O266" s="28" t="s">
        <v>10144</v>
      </c>
      <c r="P266" s="28" t="s">
        <v>608</v>
      </c>
      <c r="Q266" s="196" t="s">
        <v>6568</v>
      </c>
    </row>
    <row r="267" customFormat="false" ht="114.75" hidden="false" customHeight="true" outlineLevel="0" collapsed="false">
      <c r="A267" s="224" t="s">
        <v>8306</v>
      </c>
      <c r="B267" s="224" t="s">
        <v>6351</v>
      </c>
      <c r="C267" s="233" t="s">
        <v>10174</v>
      </c>
      <c r="D267" s="224" t="s">
        <v>10175</v>
      </c>
      <c r="E267" s="224" t="s">
        <v>10032</v>
      </c>
      <c r="F267" s="224" t="s">
        <v>10176</v>
      </c>
      <c r="G267" s="224" t="s">
        <v>10177</v>
      </c>
      <c r="H267" s="224" t="s">
        <v>10178</v>
      </c>
      <c r="I267" s="236" t="s">
        <v>10179</v>
      </c>
      <c r="J267" s="224" t="s">
        <v>6382</v>
      </c>
      <c r="K267" s="237" t="s">
        <v>10180</v>
      </c>
      <c r="L267" s="196" t="s">
        <v>8557</v>
      </c>
      <c r="M267" s="6" t="s">
        <v>5693</v>
      </c>
      <c r="N267" s="28" t="s">
        <v>608</v>
      </c>
      <c r="O267" s="28" t="s">
        <v>608</v>
      </c>
      <c r="P267" s="28" t="s">
        <v>8711</v>
      </c>
      <c r="Q267" s="196" t="s">
        <v>6461</v>
      </c>
    </row>
    <row r="268" customFormat="false" ht="114.75" hidden="false" customHeight="true" outlineLevel="0" collapsed="false">
      <c r="A268" s="224" t="s">
        <v>10181</v>
      </c>
      <c r="B268" s="224" t="s">
        <v>6402</v>
      </c>
      <c r="C268" s="233" t="s">
        <v>10182</v>
      </c>
      <c r="D268" s="224" t="s">
        <v>10183</v>
      </c>
      <c r="E268" s="236" t="s">
        <v>10184</v>
      </c>
      <c r="F268" s="224" t="s">
        <v>10185</v>
      </c>
      <c r="G268" s="224" t="s">
        <v>608</v>
      </c>
      <c r="H268" s="224" t="s">
        <v>608</v>
      </c>
      <c r="I268" s="236" t="s">
        <v>10186</v>
      </c>
      <c r="J268" s="224" t="s">
        <v>6399</v>
      </c>
      <c r="K268" s="237" t="s">
        <v>10187</v>
      </c>
      <c r="L268" s="196" t="s">
        <v>8557</v>
      </c>
      <c r="M268" s="6" t="s">
        <v>608</v>
      </c>
      <c r="N268" s="28" t="s">
        <v>608</v>
      </c>
      <c r="O268" s="28" t="s">
        <v>608</v>
      </c>
      <c r="P268" s="28" t="s">
        <v>608</v>
      </c>
      <c r="Q268" s="196" t="s">
        <v>6568</v>
      </c>
    </row>
    <row r="269" customFormat="false" ht="100.5" hidden="false" customHeight="true" outlineLevel="0" collapsed="false">
      <c r="A269" s="224" t="s">
        <v>10188</v>
      </c>
      <c r="B269" s="224" t="s">
        <v>6402</v>
      </c>
      <c r="C269" s="233" t="s">
        <v>10189</v>
      </c>
      <c r="D269" s="224" t="s">
        <v>10190</v>
      </c>
      <c r="E269" s="224" t="s">
        <v>10191</v>
      </c>
      <c r="F269" s="224" t="s">
        <v>10192</v>
      </c>
      <c r="G269" s="224" t="s">
        <v>608</v>
      </c>
      <c r="H269" s="224" t="s">
        <v>10193</v>
      </c>
      <c r="I269" s="236" t="s">
        <v>10194</v>
      </c>
      <c r="J269" s="224" t="s">
        <v>6399</v>
      </c>
      <c r="K269" s="233" t="s">
        <v>10195</v>
      </c>
      <c r="L269" s="196" t="s">
        <v>8557</v>
      </c>
      <c r="M269" s="6" t="s">
        <v>608</v>
      </c>
      <c r="N269" s="28" t="s">
        <v>608</v>
      </c>
      <c r="O269" s="28" t="s">
        <v>608</v>
      </c>
      <c r="P269" s="28" t="s">
        <v>8711</v>
      </c>
      <c r="Q269" s="196" t="s">
        <v>6461</v>
      </c>
    </row>
    <row r="270" customFormat="false" ht="100.5" hidden="false" customHeight="true" outlineLevel="0" collapsed="false">
      <c r="A270" s="224" t="s">
        <v>10196</v>
      </c>
      <c r="B270" s="224" t="s">
        <v>6402</v>
      </c>
      <c r="C270" s="233" t="s">
        <v>10197</v>
      </c>
      <c r="D270" s="224" t="s">
        <v>10198</v>
      </c>
      <c r="E270" s="224" t="s">
        <v>10199</v>
      </c>
      <c r="F270" s="224" t="s">
        <v>10200</v>
      </c>
      <c r="G270" s="224" t="s">
        <v>10201</v>
      </c>
      <c r="H270" s="224" t="s">
        <v>10202</v>
      </c>
      <c r="I270" s="236" t="s">
        <v>10203</v>
      </c>
      <c r="J270" s="224" t="s">
        <v>6399</v>
      </c>
      <c r="K270" s="237" t="s">
        <v>10204</v>
      </c>
      <c r="L270" s="196" t="s">
        <v>8557</v>
      </c>
      <c r="M270" s="6" t="s">
        <v>608</v>
      </c>
      <c r="N270" s="28" t="s">
        <v>608</v>
      </c>
      <c r="O270" s="28" t="s">
        <v>10205</v>
      </c>
      <c r="P270" s="28" t="s">
        <v>8687</v>
      </c>
      <c r="Q270" s="196" t="s">
        <v>6461</v>
      </c>
    </row>
    <row r="271" customFormat="false" ht="100.5" hidden="false" customHeight="true" outlineLevel="0" collapsed="false">
      <c r="A271" s="224" t="s">
        <v>10206</v>
      </c>
      <c r="B271" s="224" t="s">
        <v>6402</v>
      </c>
      <c r="C271" s="233" t="s">
        <v>10207</v>
      </c>
      <c r="D271" s="224" t="s">
        <v>10208</v>
      </c>
      <c r="E271" s="224" t="s">
        <v>10209</v>
      </c>
      <c r="F271" s="224" t="s">
        <v>10210</v>
      </c>
      <c r="G271" s="224" t="s">
        <v>608</v>
      </c>
      <c r="H271" s="224" t="s">
        <v>608</v>
      </c>
      <c r="I271" s="236" t="s">
        <v>10211</v>
      </c>
      <c r="J271" s="224" t="s">
        <v>6399</v>
      </c>
      <c r="K271" s="237" t="s">
        <v>10212</v>
      </c>
      <c r="L271" s="196" t="s">
        <v>8557</v>
      </c>
      <c r="M271" s="6" t="s">
        <v>608</v>
      </c>
      <c r="N271" s="28" t="s">
        <v>608</v>
      </c>
      <c r="O271" s="28" t="s">
        <v>608</v>
      </c>
      <c r="P271" s="28" t="s">
        <v>8687</v>
      </c>
      <c r="Q271" s="196" t="s">
        <v>6461</v>
      </c>
    </row>
    <row r="272" customFormat="false" ht="114.75" hidden="false" customHeight="true" outlineLevel="0" collapsed="false">
      <c r="A272" s="224" t="s">
        <v>10213</v>
      </c>
      <c r="B272" s="224" t="s">
        <v>6402</v>
      </c>
      <c r="C272" s="233" t="s">
        <v>10214</v>
      </c>
      <c r="D272" s="224" t="s">
        <v>10215</v>
      </c>
      <c r="E272" s="224" t="s">
        <v>10216</v>
      </c>
      <c r="F272" s="224" t="s">
        <v>10210</v>
      </c>
      <c r="G272" s="224" t="s">
        <v>608</v>
      </c>
      <c r="H272" s="224" t="s">
        <v>10217</v>
      </c>
      <c r="I272" s="236" t="s">
        <v>10218</v>
      </c>
      <c r="J272" s="224" t="s">
        <v>6399</v>
      </c>
      <c r="K272" s="233" t="s">
        <v>10219</v>
      </c>
      <c r="L272" s="196" t="s">
        <v>8557</v>
      </c>
      <c r="M272" s="6" t="s">
        <v>608</v>
      </c>
      <c r="N272" s="28" t="s">
        <v>608</v>
      </c>
      <c r="O272" s="28" t="s">
        <v>608</v>
      </c>
      <c r="P272" s="28" t="s">
        <v>8687</v>
      </c>
      <c r="Q272" s="196" t="s">
        <v>6461</v>
      </c>
    </row>
    <row r="273" customFormat="false" ht="100.5" hidden="false" customHeight="true" outlineLevel="0" collapsed="false">
      <c r="A273" s="224" t="s">
        <v>10220</v>
      </c>
      <c r="B273" s="224" t="s">
        <v>6402</v>
      </c>
      <c r="C273" s="233" t="s">
        <v>10221</v>
      </c>
      <c r="D273" s="224" t="s">
        <v>10222</v>
      </c>
      <c r="E273" s="224" t="s">
        <v>10223</v>
      </c>
      <c r="F273" s="224" t="s">
        <v>10224</v>
      </c>
      <c r="G273" s="224" t="s">
        <v>608</v>
      </c>
      <c r="H273" s="224" t="s">
        <v>608</v>
      </c>
      <c r="I273" s="236" t="s">
        <v>10211</v>
      </c>
      <c r="J273" s="224" t="s">
        <v>6399</v>
      </c>
      <c r="K273" s="237" t="s">
        <v>10225</v>
      </c>
      <c r="L273" s="196" t="s">
        <v>8557</v>
      </c>
      <c r="M273" s="6" t="s">
        <v>608</v>
      </c>
      <c r="N273" s="28" t="s">
        <v>608</v>
      </c>
      <c r="O273" s="28" t="s">
        <v>608</v>
      </c>
      <c r="P273" s="28" t="s">
        <v>8687</v>
      </c>
      <c r="Q273" s="196" t="s">
        <v>6461</v>
      </c>
    </row>
    <row r="274" customFormat="false" ht="114.75" hidden="false" customHeight="true" outlineLevel="0" collapsed="false">
      <c r="A274" s="224" t="s">
        <v>10226</v>
      </c>
      <c r="B274" s="224" t="s">
        <v>6402</v>
      </c>
      <c r="C274" s="233" t="s">
        <v>10227</v>
      </c>
      <c r="D274" s="224" t="s">
        <v>10228</v>
      </c>
      <c r="E274" s="224" t="s">
        <v>10229</v>
      </c>
      <c r="F274" s="224" t="s">
        <v>7925</v>
      </c>
      <c r="G274" s="224" t="s">
        <v>10230</v>
      </c>
      <c r="H274" s="224" t="s">
        <v>10231</v>
      </c>
      <c r="I274" s="236" t="s">
        <v>10232</v>
      </c>
      <c r="J274" s="224" t="s">
        <v>6399</v>
      </c>
      <c r="K274" s="237" t="s">
        <v>10233</v>
      </c>
      <c r="L274" s="196" t="s">
        <v>8557</v>
      </c>
      <c r="M274" s="6" t="s">
        <v>7925</v>
      </c>
      <c r="N274" s="28" t="s">
        <v>608</v>
      </c>
      <c r="O274" s="28" t="s">
        <v>10234</v>
      </c>
      <c r="P274" s="28" t="s">
        <v>8711</v>
      </c>
      <c r="Q274" s="196" t="s">
        <v>6461</v>
      </c>
    </row>
    <row r="275" customFormat="false" ht="114.75" hidden="false" customHeight="true" outlineLevel="0" collapsed="false">
      <c r="A275" s="224" t="s">
        <v>10235</v>
      </c>
      <c r="B275" s="224" t="s">
        <v>6402</v>
      </c>
      <c r="C275" s="233" t="s">
        <v>10236</v>
      </c>
      <c r="D275" s="224" t="s">
        <v>10237</v>
      </c>
      <c r="E275" s="224" t="s">
        <v>10238</v>
      </c>
      <c r="F275" s="224" t="s">
        <v>10239</v>
      </c>
      <c r="G275" s="224" t="s">
        <v>608</v>
      </c>
      <c r="H275" s="224" t="s">
        <v>10240</v>
      </c>
      <c r="I275" s="236" t="s">
        <v>10241</v>
      </c>
      <c r="J275" s="224" t="s">
        <v>6399</v>
      </c>
      <c r="K275" s="233" t="s">
        <v>10242</v>
      </c>
      <c r="L275" s="196" t="s">
        <v>8557</v>
      </c>
      <c r="M275" s="6" t="s">
        <v>608</v>
      </c>
      <c r="N275" s="28" t="s">
        <v>608</v>
      </c>
      <c r="O275" s="28" t="s">
        <v>608</v>
      </c>
      <c r="P275" s="28" t="s">
        <v>8687</v>
      </c>
      <c r="Q275" s="196" t="s">
        <v>6461</v>
      </c>
    </row>
    <row r="276" customFormat="false" ht="114.75" hidden="false" customHeight="true" outlineLevel="0" collapsed="false">
      <c r="A276" s="224" t="s">
        <v>10243</v>
      </c>
      <c r="B276" s="224" t="s">
        <v>6402</v>
      </c>
      <c r="C276" s="233" t="s">
        <v>10244</v>
      </c>
      <c r="D276" s="224" t="s">
        <v>10245</v>
      </c>
      <c r="E276" s="224" t="s">
        <v>10246</v>
      </c>
      <c r="F276" s="224" t="s">
        <v>10247</v>
      </c>
      <c r="G276" s="224" t="s">
        <v>608</v>
      </c>
      <c r="H276" s="224" t="s">
        <v>608</v>
      </c>
      <c r="I276" s="236" t="s">
        <v>10248</v>
      </c>
      <c r="J276" s="224" t="s">
        <v>6399</v>
      </c>
      <c r="K276" s="237" t="s">
        <v>10249</v>
      </c>
      <c r="L276" s="196" t="s">
        <v>8557</v>
      </c>
      <c r="M276" s="6" t="s">
        <v>608</v>
      </c>
      <c r="N276" s="28" t="s">
        <v>608</v>
      </c>
      <c r="O276" s="28" t="s">
        <v>608</v>
      </c>
      <c r="P276" s="28" t="s">
        <v>8736</v>
      </c>
      <c r="Q276" s="196" t="s">
        <v>6568</v>
      </c>
    </row>
    <row r="277" customFormat="false" ht="100.5" hidden="false" customHeight="true" outlineLevel="0" collapsed="false">
      <c r="A277" s="224" t="s">
        <v>10250</v>
      </c>
      <c r="B277" s="224" t="s">
        <v>6402</v>
      </c>
      <c r="C277" s="237" t="s">
        <v>10251</v>
      </c>
      <c r="D277" s="224" t="s">
        <v>10252</v>
      </c>
      <c r="E277" s="224" t="s">
        <v>98</v>
      </c>
      <c r="F277" s="224" t="s">
        <v>10253</v>
      </c>
      <c r="G277" s="224" t="s">
        <v>608</v>
      </c>
      <c r="H277" s="224" t="s">
        <v>10254</v>
      </c>
      <c r="I277" s="236" t="s">
        <v>10248</v>
      </c>
      <c r="J277" s="224" t="s">
        <v>6399</v>
      </c>
      <c r="K277" s="237" t="s">
        <v>10255</v>
      </c>
      <c r="L277" s="196" t="s">
        <v>8557</v>
      </c>
      <c r="M277" s="6" t="s">
        <v>608</v>
      </c>
      <c r="N277" s="28" t="s">
        <v>608</v>
      </c>
      <c r="O277" s="28" t="s">
        <v>608</v>
      </c>
      <c r="P277" s="28" t="s">
        <v>8687</v>
      </c>
      <c r="Q277" s="196" t="s">
        <v>10085</v>
      </c>
    </row>
    <row r="278" customFormat="false" ht="114.75" hidden="false" customHeight="true" outlineLevel="0" collapsed="false">
      <c r="A278" s="224" t="s">
        <v>10256</v>
      </c>
      <c r="B278" s="224" t="s">
        <v>6402</v>
      </c>
      <c r="C278" s="233" t="s">
        <v>10257</v>
      </c>
      <c r="D278" s="224" t="s">
        <v>10258</v>
      </c>
      <c r="E278" s="224" t="s">
        <v>10259</v>
      </c>
      <c r="F278" s="224" t="s">
        <v>10260</v>
      </c>
      <c r="G278" s="224" t="s">
        <v>608</v>
      </c>
      <c r="H278" s="224" t="s">
        <v>10261</v>
      </c>
      <c r="I278" s="236" t="s">
        <v>10262</v>
      </c>
      <c r="J278" s="224" t="s">
        <v>6399</v>
      </c>
      <c r="K278" s="233" t="s">
        <v>10263</v>
      </c>
      <c r="L278" s="196" t="s">
        <v>8557</v>
      </c>
      <c r="M278" s="6" t="s">
        <v>608</v>
      </c>
      <c r="N278" s="28" t="s">
        <v>608</v>
      </c>
      <c r="O278" s="28" t="s">
        <v>608</v>
      </c>
      <c r="P278" s="28" t="s">
        <v>8687</v>
      </c>
      <c r="Q278" s="196" t="s">
        <v>10085</v>
      </c>
    </row>
    <row r="279" customFormat="false" ht="114.75" hidden="false" customHeight="true" outlineLevel="0" collapsed="false">
      <c r="A279" s="224" t="s">
        <v>10264</v>
      </c>
      <c r="B279" s="224" t="s">
        <v>6402</v>
      </c>
      <c r="C279" s="233" t="s">
        <v>10265</v>
      </c>
      <c r="D279" s="224" t="s">
        <v>10266</v>
      </c>
      <c r="E279" s="224" t="s">
        <v>10209</v>
      </c>
      <c r="F279" s="224" t="s">
        <v>10267</v>
      </c>
      <c r="G279" s="224" t="s">
        <v>608</v>
      </c>
      <c r="H279" s="224" t="s">
        <v>10268</v>
      </c>
      <c r="I279" s="236" t="s">
        <v>10262</v>
      </c>
      <c r="J279" s="224" t="s">
        <v>6399</v>
      </c>
      <c r="K279" s="233" t="s">
        <v>10269</v>
      </c>
      <c r="L279" s="196" t="s">
        <v>8557</v>
      </c>
      <c r="M279" s="6" t="s">
        <v>608</v>
      </c>
      <c r="N279" s="28" t="s">
        <v>608</v>
      </c>
      <c r="O279" s="28" t="s">
        <v>608</v>
      </c>
      <c r="P279" s="28" t="s">
        <v>8687</v>
      </c>
      <c r="Q279" s="196" t="s">
        <v>6461</v>
      </c>
    </row>
    <row r="280" customFormat="false" ht="114.75" hidden="false" customHeight="true" outlineLevel="0" collapsed="false">
      <c r="A280" s="224" t="s">
        <v>10270</v>
      </c>
      <c r="B280" s="224" t="s">
        <v>6402</v>
      </c>
      <c r="C280" s="237" t="s">
        <v>10271</v>
      </c>
      <c r="D280" s="224" t="s">
        <v>10272</v>
      </c>
      <c r="E280" s="224" t="s">
        <v>141</v>
      </c>
      <c r="F280" s="224" t="s">
        <v>10273</v>
      </c>
      <c r="G280" s="224" t="s">
        <v>10274</v>
      </c>
      <c r="H280" s="224" t="s">
        <v>10275</v>
      </c>
      <c r="I280" s="236" t="s">
        <v>10276</v>
      </c>
      <c r="J280" s="224" t="s">
        <v>6399</v>
      </c>
      <c r="K280" s="233" t="s">
        <v>10277</v>
      </c>
      <c r="L280" s="196" t="s">
        <v>8557</v>
      </c>
      <c r="M280" s="6" t="s">
        <v>608</v>
      </c>
      <c r="N280" s="28" t="s">
        <v>608</v>
      </c>
      <c r="O280" s="28" t="s">
        <v>10278</v>
      </c>
      <c r="P280" s="28" t="s">
        <v>608</v>
      </c>
      <c r="Q280" s="196" t="s">
        <v>6568</v>
      </c>
    </row>
    <row r="281" customFormat="false" ht="114.75" hidden="false" customHeight="true" outlineLevel="0" collapsed="false">
      <c r="A281" s="224" t="s">
        <v>10279</v>
      </c>
      <c r="B281" s="224" t="s">
        <v>6402</v>
      </c>
      <c r="C281" s="237" t="s">
        <v>10280</v>
      </c>
      <c r="D281" s="224" t="s">
        <v>10281</v>
      </c>
      <c r="E281" s="224" t="s">
        <v>141</v>
      </c>
      <c r="F281" s="236" t="s">
        <v>10282</v>
      </c>
      <c r="G281" s="224" t="s">
        <v>608</v>
      </c>
      <c r="H281" s="224" t="s">
        <v>10283</v>
      </c>
      <c r="I281" s="236" t="s">
        <v>10284</v>
      </c>
      <c r="J281" s="224" t="s">
        <v>6399</v>
      </c>
      <c r="K281" s="237" t="s">
        <v>10285</v>
      </c>
      <c r="L281" s="196" t="s">
        <v>8557</v>
      </c>
      <c r="M281" s="6" t="s">
        <v>608</v>
      </c>
      <c r="N281" s="28" t="s">
        <v>608</v>
      </c>
      <c r="O281" s="28" t="s">
        <v>10286</v>
      </c>
      <c r="P281" s="28" t="s">
        <v>608</v>
      </c>
      <c r="Q281" s="196" t="s">
        <v>6568</v>
      </c>
    </row>
    <row r="282" customFormat="false" ht="100.5" hidden="false" customHeight="true" outlineLevel="0" collapsed="false">
      <c r="A282" s="224" t="s">
        <v>10287</v>
      </c>
      <c r="B282" s="224" t="s">
        <v>6402</v>
      </c>
      <c r="C282" s="233" t="s">
        <v>10288</v>
      </c>
      <c r="D282" s="224" t="s">
        <v>10289</v>
      </c>
      <c r="E282" s="224" t="s">
        <v>10290</v>
      </c>
      <c r="F282" s="236" t="s">
        <v>10291</v>
      </c>
      <c r="G282" s="224" t="s">
        <v>608</v>
      </c>
      <c r="H282" s="236" t="s">
        <v>523</v>
      </c>
      <c r="I282" s="236" t="s">
        <v>10292</v>
      </c>
      <c r="J282" s="224" t="s">
        <v>6399</v>
      </c>
      <c r="K282" s="237" t="s">
        <v>10293</v>
      </c>
      <c r="L282" s="196" t="s">
        <v>8557</v>
      </c>
      <c r="M282" s="6" t="s">
        <v>608</v>
      </c>
      <c r="N282" s="28" t="s">
        <v>608</v>
      </c>
      <c r="O282" s="28" t="s">
        <v>3326</v>
      </c>
      <c r="P282" s="28" t="s">
        <v>8687</v>
      </c>
      <c r="Q282" s="196" t="s">
        <v>10085</v>
      </c>
    </row>
    <row r="283" customFormat="false" ht="114.75" hidden="false" customHeight="true" outlineLevel="0" collapsed="false">
      <c r="A283" s="224" t="s">
        <v>10294</v>
      </c>
      <c r="B283" s="224" t="s">
        <v>6402</v>
      </c>
      <c r="C283" s="233" t="s">
        <v>10295</v>
      </c>
      <c r="D283" s="224" t="s">
        <v>10296</v>
      </c>
      <c r="E283" s="236" t="s">
        <v>10184</v>
      </c>
      <c r="F283" s="224" t="s">
        <v>10297</v>
      </c>
      <c r="G283" s="224" t="s">
        <v>10298</v>
      </c>
      <c r="H283" s="224" t="s">
        <v>608</v>
      </c>
      <c r="I283" s="236" t="s">
        <v>10299</v>
      </c>
      <c r="J283" s="224" t="s">
        <v>6399</v>
      </c>
      <c r="K283" s="237" t="s">
        <v>10300</v>
      </c>
      <c r="L283" s="196" t="s">
        <v>8557</v>
      </c>
      <c r="M283" s="6" t="s">
        <v>608</v>
      </c>
      <c r="N283" s="28" t="s">
        <v>608</v>
      </c>
      <c r="O283" s="28" t="s">
        <v>608</v>
      </c>
      <c r="P283" s="28" t="s">
        <v>608</v>
      </c>
      <c r="Q283" s="196" t="s">
        <v>6568</v>
      </c>
    </row>
    <row r="284" customFormat="false" ht="114.75" hidden="false" customHeight="true" outlineLevel="0" collapsed="false">
      <c r="A284" s="224" t="s">
        <v>10301</v>
      </c>
      <c r="B284" s="224" t="s">
        <v>6402</v>
      </c>
      <c r="C284" s="237" t="s">
        <v>10302</v>
      </c>
      <c r="D284" s="224" t="s">
        <v>10303</v>
      </c>
      <c r="E284" s="224" t="s">
        <v>141</v>
      </c>
      <c r="F284" s="224" t="s">
        <v>10304</v>
      </c>
      <c r="G284" s="224" t="s">
        <v>10305</v>
      </c>
      <c r="H284" s="236" t="s">
        <v>10306</v>
      </c>
      <c r="I284" s="236" t="s">
        <v>10307</v>
      </c>
      <c r="J284" s="224" t="s">
        <v>6399</v>
      </c>
      <c r="K284" s="237" t="s">
        <v>10308</v>
      </c>
      <c r="L284" s="196" t="s">
        <v>8557</v>
      </c>
      <c r="M284" s="6" t="s">
        <v>608</v>
      </c>
      <c r="N284" s="28" t="s">
        <v>608</v>
      </c>
      <c r="O284" s="28" t="s">
        <v>10309</v>
      </c>
      <c r="P284" s="28" t="s">
        <v>608</v>
      </c>
      <c r="Q284" s="196" t="s">
        <v>6568</v>
      </c>
    </row>
    <row r="285" customFormat="false" ht="114.75" hidden="false" customHeight="true" outlineLevel="0" collapsed="false">
      <c r="A285" s="224" t="s">
        <v>10310</v>
      </c>
      <c r="B285" s="224" t="s">
        <v>6402</v>
      </c>
      <c r="C285" s="233" t="s">
        <v>10311</v>
      </c>
      <c r="D285" s="224" t="s">
        <v>10312</v>
      </c>
      <c r="E285" s="224" t="s">
        <v>10313</v>
      </c>
      <c r="F285" s="224" t="s">
        <v>7925</v>
      </c>
      <c r="G285" s="224" t="s">
        <v>10314</v>
      </c>
      <c r="H285" s="224" t="s">
        <v>10231</v>
      </c>
      <c r="I285" s="236" t="s">
        <v>10315</v>
      </c>
      <c r="J285" s="224" t="s">
        <v>6399</v>
      </c>
      <c r="K285" s="237" t="s">
        <v>10316</v>
      </c>
      <c r="L285" s="196" t="s">
        <v>8557</v>
      </c>
      <c r="M285" s="6" t="s">
        <v>7925</v>
      </c>
      <c r="N285" s="28" t="s">
        <v>608</v>
      </c>
      <c r="O285" s="28" t="s">
        <v>10317</v>
      </c>
      <c r="P285" s="28" t="s">
        <v>8711</v>
      </c>
      <c r="Q285" s="196" t="s">
        <v>6461</v>
      </c>
    </row>
    <row r="286" customFormat="false" ht="100.5" hidden="false" customHeight="true" outlineLevel="0" collapsed="false">
      <c r="A286" s="224" t="s">
        <v>10318</v>
      </c>
      <c r="B286" s="224" t="s">
        <v>6402</v>
      </c>
      <c r="C286" s="237" t="s">
        <v>10319</v>
      </c>
      <c r="D286" s="224" t="s">
        <v>10320</v>
      </c>
      <c r="E286" s="224" t="s">
        <v>10321</v>
      </c>
      <c r="F286" s="224" t="s">
        <v>10322</v>
      </c>
      <c r="G286" s="224" t="s">
        <v>10323</v>
      </c>
      <c r="H286" s="224" t="s">
        <v>10324</v>
      </c>
      <c r="I286" s="236" t="s">
        <v>10325</v>
      </c>
      <c r="J286" s="224" t="s">
        <v>6399</v>
      </c>
      <c r="K286" s="237" t="s">
        <v>10326</v>
      </c>
      <c r="L286" s="196" t="s">
        <v>8557</v>
      </c>
      <c r="M286" s="6" t="s">
        <v>2977</v>
      </c>
      <c r="N286" s="28" t="s">
        <v>608</v>
      </c>
      <c r="O286" s="28" t="s">
        <v>10327</v>
      </c>
      <c r="P286" s="28" t="s">
        <v>8711</v>
      </c>
      <c r="Q286" s="196" t="s">
        <v>6461</v>
      </c>
    </row>
    <row r="287" customFormat="false" ht="114.75" hidden="false" customHeight="true" outlineLevel="0" collapsed="false">
      <c r="A287" s="224" t="s">
        <v>8317</v>
      </c>
      <c r="B287" s="224" t="s">
        <v>6402</v>
      </c>
      <c r="C287" s="233" t="s">
        <v>10328</v>
      </c>
      <c r="D287" s="224" t="s">
        <v>10329</v>
      </c>
      <c r="E287" s="236" t="s">
        <v>10330</v>
      </c>
      <c r="F287" s="224" t="s">
        <v>10331</v>
      </c>
      <c r="G287" s="224" t="s">
        <v>10323</v>
      </c>
      <c r="H287" s="224" t="s">
        <v>10332</v>
      </c>
      <c r="I287" s="236" t="s">
        <v>10333</v>
      </c>
      <c r="J287" s="224" t="s">
        <v>6399</v>
      </c>
      <c r="K287" s="237" t="s">
        <v>10334</v>
      </c>
      <c r="L287" s="196" t="s">
        <v>8557</v>
      </c>
      <c r="M287" s="6" t="s">
        <v>10335</v>
      </c>
      <c r="N287" s="28" t="s">
        <v>608</v>
      </c>
      <c r="O287" s="28" t="s">
        <v>10336</v>
      </c>
      <c r="P287" s="28" t="s">
        <v>8711</v>
      </c>
      <c r="Q287" s="196" t="s">
        <v>6568</v>
      </c>
    </row>
    <row r="288" customFormat="false" ht="100.5" hidden="false" customHeight="true" outlineLevel="0" collapsed="false">
      <c r="A288" s="224" t="s">
        <v>10337</v>
      </c>
      <c r="B288" s="224" t="s">
        <v>6402</v>
      </c>
      <c r="C288" s="237" t="s">
        <v>10338</v>
      </c>
      <c r="D288" s="224" t="s">
        <v>10339</v>
      </c>
      <c r="E288" s="224" t="s">
        <v>10340</v>
      </c>
      <c r="F288" s="224" t="s">
        <v>10341</v>
      </c>
      <c r="G288" s="224" t="s">
        <v>608</v>
      </c>
      <c r="H288" s="224" t="s">
        <v>10240</v>
      </c>
      <c r="I288" s="236" t="s">
        <v>10342</v>
      </c>
      <c r="J288" s="224" t="s">
        <v>6399</v>
      </c>
      <c r="K288" s="237" t="s">
        <v>10343</v>
      </c>
      <c r="L288" s="196" t="s">
        <v>8557</v>
      </c>
      <c r="M288" s="6" t="s">
        <v>608</v>
      </c>
      <c r="N288" s="28" t="s">
        <v>608</v>
      </c>
      <c r="O288" s="28" t="s">
        <v>608</v>
      </c>
      <c r="P288" s="28" t="s">
        <v>8687</v>
      </c>
      <c r="Q288" s="196" t="s">
        <v>6461</v>
      </c>
    </row>
    <row r="289" customFormat="false" ht="114.75" hidden="false" customHeight="true" outlineLevel="0" collapsed="false">
      <c r="A289" s="224" t="s">
        <v>10344</v>
      </c>
      <c r="B289" s="224" t="s">
        <v>6402</v>
      </c>
      <c r="C289" s="233" t="s">
        <v>10345</v>
      </c>
      <c r="D289" s="224" t="s">
        <v>10346</v>
      </c>
      <c r="E289" s="224" t="s">
        <v>10199</v>
      </c>
      <c r="F289" s="224" t="s">
        <v>10200</v>
      </c>
      <c r="G289" s="224" t="s">
        <v>10201</v>
      </c>
      <c r="H289" s="224" t="s">
        <v>10347</v>
      </c>
      <c r="I289" s="236" t="s">
        <v>10348</v>
      </c>
      <c r="J289" s="224" t="s">
        <v>6399</v>
      </c>
      <c r="K289" s="237" t="s">
        <v>10349</v>
      </c>
      <c r="L289" s="196" t="s">
        <v>8557</v>
      </c>
      <c r="M289" s="6" t="s">
        <v>608</v>
      </c>
      <c r="N289" s="28" t="s">
        <v>608</v>
      </c>
      <c r="O289" s="28" t="s">
        <v>10205</v>
      </c>
      <c r="P289" s="28" t="s">
        <v>8687</v>
      </c>
      <c r="Q289" s="196" t="s">
        <v>6461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2026-10-15T14:45:20Z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